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extended-properties+xml" PartName="/docProps/app.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ciones" sheetId="1" r:id="rId4"/>
    <sheet state="visible" name="Finiquito empleados" sheetId="2" r:id="rId5"/>
  </sheets>
  <definedNames/>
  <calcPr/>
</workbook>
</file>

<file path=xl/sharedStrings.xml><?xml version="1.0" encoding="utf-8"?>
<sst xmlns="http://schemas.openxmlformats.org/spreadsheetml/2006/main" count="94" uniqueCount="80">
  <si>
    <t>Documento de liquidación y finiquito</t>
  </si>
  <si>
    <t xml:space="preserve">Desde Personio hemos elaborado esta plantilla con la que podrás calcular el finiquito que le corresponde a tus empleados. </t>
  </si>
  <si>
    <t>0. Pestaña Instrucciones</t>
  </si>
  <si>
    <t xml:space="preserve">0.1 Esta pestaña te servirá de guía para utilizar esta plantilla. Para un mejor funcionamiento te recomendamos usar la versión Excel (con el archivo descargado), en vez de la online. </t>
  </si>
  <si>
    <t>1. Pestaña Cálculo finiquito</t>
  </si>
  <si>
    <t xml:space="preserve">En esta pestaña podrás introducir la información necesaria para que el finiquito se calcule de forma automática. </t>
  </si>
  <si>
    <t>1.1 Añadir información: en primer lugar, deberás introducir la fecha de inicio y de fin de la relación laboral para calcular los días trabajados. A continuación, añade la información relativa al salario base y al número de pagas extra, así como de vacaciones, indemnizaciones, horas extra y pagas pendientes de liquidar.</t>
  </si>
  <si>
    <t>1.2 Fórmulas: las celdas en amarillo indican que hay fórmulas, por lo que no será necesario modificar su contenido. Éste actualizará conforme se añada el resto de información.</t>
  </si>
  <si>
    <t xml:space="preserve">1.2 Guardar información: una vez tengas toda la información, asegúrate de guardar los cambios. Para ello ve a "Archivo" y dale a "Guardar". Finalmente, puedes imprimir la plantilla para que tanto la empresa como el empleado la firmen. </t>
  </si>
  <si>
    <t>Descargo de responsabilidad: la información ofrecida en esta plantilla tiene carácter informativo y no supone en ningún caso un asesoramiento jurídico. En caso de dudas sobre la información proporcionada, recomendamos solicitar una asesoría especializada. Según lo anterior, no nos hacemos responsables de las acciones que puedan derivarse de su uso.</t>
  </si>
  <si>
    <t>NOMBRE:</t>
  </si>
  <si>
    <t>EMPRESA:</t>
  </si>
  <si>
    <t>CONVENIO:</t>
  </si>
  <si>
    <t>CATEGORÍA:</t>
  </si>
  <si>
    <t>FECHA INICIO RELACION LABORAL:</t>
  </si>
  <si>
    <t>DíAS TRABAJADOS:</t>
  </si>
  <si>
    <t>FECHA FINAL RELACION LABORAL:</t>
  </si>
  <si>
    <t>NÚMERO DE PAGAS -2,3 o 4- ( 1 si es semestral ):</t>
  </si>
  <si>
    <t>PERIODO PAGAS EXTRAS:</t>
  </si>
  <si>
    <t>VERANO:</t>
  </si>
  <si>
    <t>INVIERNO:</t>
  </si>
  <si>
    <t>FECHA DE REFERENCIA:</t>
  </si>
  <si>
    <t>TERCERA PAGA:</t>
  </si>
  <si>
    <t>CUARTA PAGA:</t>
  </si>
  <si>
    <t>SALARIO</t>
  </si>
  <si>
    <t>PAGAS EXTRAS</t>
  </si>
  <si>
    <t>DÍAS</t>
  </si>
  <si>
    <t>SALARIO BASE:</t>
  </si>
  <si>
    <t>PRIMERA PAGA:</t>
  </si>
  <si>
    <t>SEGUNDA PAGA:</t>
  </si>
  <si>
    <t>BAJAS A EFECTOS DE PAGAS</t>
  </si>
  <si>
    <t>INICIO</t>
  </si>
  <si>
    <t>TOTAL SALARIO:</t>
  </si>
  <si>
    <t>FINAL</t>
  </si>
  <si>
    <t>CONCEPTOS FIJOS MENSUALES EXCLUIDOS DE PAGAS:</t>
  </si>
  <si>
    <t>SALARIO VACACIONES:</t>
  </si>
  <si>
    <t>UNIDADES</t>
  </si>
  <si>
    <t>PRECIO</t>
  </si>
  <si>
    <t>HORAS EXTRAS:</t>
  </si>
  <si>
    <t>CONCEPTOS EXCLUIDOS DE COTIZACION</t>
  </si>
  <si>
    <t>HORAS EXTRAS (2):</t>
  </si>
  <si>
    <t>CONCEPTOS EXCLUIDOS DE RETENCION Y COTIZACION</t>
  </si>
  <si>
    <t>PACTADA</t>
  </si>
  <si>
    <t>OTROS PLUSES:</t>
  </si>
  <si>
    <t>PRORRATA PAGA EXTRA</t>
  </si>
  <si>
    <t>PAGAS PENDIENTES DE LIQUIDAR</t>
  </si>
  <si>
    <t>(SI SE COBRA PRORRATEADA, HAY QUE PONER  "0")</t>
  </si>
  <si>
    <t>PRIMERA PAGA EXTRA:</t>
  </si>
  <si>
    <t>Xy1277,5</t>
  </si>
  <si>
    <t>SEGUNDA PAGA EXTRA:</t>
  </si>
  <si>
    <t>45yY</t>
  </si>
  <si>
    <t>TERCERA PAGA EXTRA:</t>
  </si>
  <si>
    <t>XyY</t>
  </si>
  <si>
    <t>CUARTA PAGA EXTRA:</t>
  </si>
  <si>
    <t>DESPIDO</t>
  </si>
  <si>
    <t>INDEMNIZACIONES</t>
  </si>
  <si>
    <t>Nº. DIAS</t>
  </si>
  <si>
    <t>DIAS</t>
  </si>
  <si>
    <t>MOD. SUSTANCIAL O ADICIONAL:</t>
  </si>
  <si>
    <t>(LIMITE DE 12 MENSUALIDADES)</t>
  </si>
  <si>
    <t>DESPIDO (CONTRATO FOMENTO EMPLEO):</t>
  </si>
  <si>
    <t>(LIMITE DE 24 MENSUALIDADES)</t>
  </si>
  <si>
    <t>DESPIDO O FIN CONTRATO:</t>
  </si>
  <si>
    <t>(LIMITE DE 42 MENSUALIDADES)</t>
  </si>
  <si>
    <t>PACTADA:</t>
  </si>
  <si>
    <t>OTRA:</t>
  </si>
  <si>
    <t>TOTAL SIN RETENCIÓN:</t>
  </si>
  <si>
    <t>CONTINGENCIAS COMUNES</t>
  </si>
  <si>
    <t>DESEMPLEO</t>
  </si>
  <si>
    <t>FORMACION</t>
  </si>
  <si>
    <t>I.R.P.F.</t>
  </si>
  <si>
    <t>SALARIO A PERCIBIR:</t>
  </si>
  <si>
    <t>PAGAS EXTRAS:</t>
  </si>
  <si>
    <t>P.EXTRAS A PERCIBIR:</t>
  </si>
  <si>
    <t>INDEMNIZACION SUJETA A RETENCION</t>
  </si>
  <si>
    <t>INDEMNIZACION A PERCIBIR:</t>
  </si>
  <si>
    <t>TOTAL FINIQUITO:</t>
  </si>
  <si>
    <t>En _____________a _____ de __________ de _______</t>
  </si>
  <si>
    <t>Firma de la empresa</t>
  </si>
  <si>
    <t>Firma del trabajador/a</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</si>
</sst>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d\ &quot;de&quot;\ mmmm\ &quot;de&quot;\ yyyy"/>
    <numFmt numFmtId="165" formatCode="#,##0.00\ &quot;€&quot;"/>
    <numFmt numFmtId="166" formatCode="[$-C0A]d\ &quot;de&quot;\ mmmm\ &quot;de&quot;\ yyyy"/>
    <numFmt numFmtId="167" formatCode="0.0"/>
  </numFmts>
  <fonts count="21">
    <font>
      <sz val="12.0"/>
      <color/>
      <name val="Arial"/>
      <scheme val="minor"/>
    </font>
    <font>
      <sz val="12.0"/>
      <color/>
      <name val="Calibri"/>
    </font>
    <font>
      <b/>
      <sz val="20.0"/>
      <color/>
      <name val="Open Sans"/>
    </font>
    <font/>
    <font>
      <sz val="14.0"/>
      <color/>
      <name val="Open Sans"/>
    </font>
    <font>
      <sz val="14.0"/>
      <color/>
      <name val="Calibri"/>
    </font>
    <font>
      <b/>
      <sz val="14.0"/>
      <color/>
      <name val="Open Sans"/>
    </font>
    <font>
      <i/>
      <sz val="14.0"/>
      <color/>
      <name val="Open Sans"/>
    </font>
    <font>
      <sz val="12.0"/>
      <color/>
      <name val="Open Sans"/>
    </font>
    <font>
      <sz val="11.0"/>
      <name val="Open Sans"/>
    </font>
    <font>
      <u/>
      <sz val="11.0"/>
      <color rgb="FF0000FF"/>
      <name val="Open Sans"/>
    </font>
    <font>
      <b/>
      <sz val="11.0"/>
      <color rgb="FFFFFFFF"/>
      <name val="Open Sans"/>
    </font>
    <font>
      <b/>
      <sz val="11.0"/>
      <color/>
      <name val="Open Sans"/>
    </font>
    <font>
      <b/>
      <sz val="11.0"/>
      <color rgb="FF595959"/>
      <name val="Open Sans"/>
    </font>
    <font>
      <b/>
      <sz val="11.0"/>
      <name val="Open Sans"/>
    </font>
    <font>
      <sz val="11.0"/>
      <color rgb="FF595959"/>
      <name val="Open Sans"/>
    </font>
    <font>
      <b/>
      <sz val="10.0"/>
      <color rgb="FF595959"/>
      <name val="Open Sans"/>
    </font>
    <font>
      <u/>
      <sz val="11.0"/>
      <color rgb="FF0000FF"/>
      <name val="Open Sans"/>
    </font>
    <font>
      <sz val="11.0"/>
      <color/>
      <name val="Open Sans"/>
    </font>
    <font>
      <sz val="9.0"/>
      <color rgb="FF595959"/>
      <name val="Open Sans"/>
    </font>
    <font>
      <sz val="10.0"/>
      <color rgb="FF595959"/>
      <name val="Open Sans"/>
    </font>
  </fonts>
  <fills count="7">
    <fill>
      <patternFill patternType="none"/>
    </fill>
    <fill>
      <patternFill patternType="lightGray"/>
    </fill>
    <fill>
      <patternFill patternType="solid">
        <fgColor rgb="FFD5F0F6"/>
        <bgColor rgb="FFD5F0F6"/>
      </patternFill>
    </fill>
    <fill>
      <patternFill patternType="solid">
        <fgColor rgb="FF73DAF5"/>
        <bgColor rgb="FF73DAF5"/>
      </patternFill>
    </fill>
    <fill>
      <patternFill patternType="solid">
        <fgColor rgb="FFFFFFFF"/>
        <bgColor rgb="FFFFFFFF"/>
      </patternFill>
    </fill>
    <fill>
      <patternFill patternType="solid">
        <fgColor rgb="FFFFFDCC"/>
        <bgColor rgb="FFFFFDCC"/>
      </patternFill>
    </fill>
    <fill>
      <patternFill patternType="solid">
        <fgColor rgb="FFE7E6E6"/>
        <bgColor rgb="FFE7E6E6"/>
      </patternFill>
    </fill>
  </fills>
  <borders count="20">
    <border/>
    <border>
      <left/>
      <right/>
      <top/>
      <bottom/>
    </border>
    <border>
      <left/>
      <top/>
      <bottom/>
    </border>
    <border>
      <top/>
      <bottom/>
    </border>
    <border>
      <right/>
      <top/>
      <bottom/>
    </border>
    <border>
      <right style="thin">
        <color rgb="FF000000"/>
      </right>
    </border>
    <border>
      <top style="thin">
        <color rgb="FFD8D8D8"/>
      </top>
      <bottom style="thin">
        <color rgb="FFD8D8D8"/>
      </bottom>
    </border>
    <border>
      <right style="thin">
        <color rgb="FFD8D8D8"/>
      </right>
      <top style="thin">
        <color rgb="FFD8D8D8"/>
      </top>
      <bottom style="thin">
        <color rgb="FFD8D8D8"/>
      </bottom>
    </border>
    <border>
      <left style="thin">
        <color rgb="FFD8D8D8"/>
      </left>
      <top style="thin">
        <color rgb="FFD8D8D8"/>
      </top>
      <bottom style="thin">
        <color rgb="FFD8D8D8"/>
      </bottom>
    </border>
    <border>
      <left style="thin">
        <color rgb="FFD8D8D8"/>
      </left>
      <top style="thin">
        <color rgb="FFD8D8D8"/>
      </top>
      <bottom/>
    </border>
    <border>
      <right style="thin">
        <color rgb="FFD8D8D8"/>
      </right>
      <top style="thin">
        <color rgb="FFD8D8D8"/>
      </top>
      <bottom/>
    </border>
    <border>
      <left style="thin">
        <color rgb="FFD8D8D8"/>
      </left>
      <right style="thin">
        <color rgb="FFD8D8D8"/>
      </right>
      <top style="thin">
        <color rgb="FFD8D8D8"/>
      </top>
      <bottom style="thin">
        <color rgb="FFD8D8D8"/>
      </bottom>
    </border>
    <border>
      <left/>
      <top/>
      <bottom style="thin">
        <color rgb="FFD8D8D8"/>
      </bottom>
    </border>
    <border>
      <top/>
      <bottom style="thin">
        <color rgb="FFD8D8D8"/>
      </bottom>
    </border>
    <border>
      <right/>
      <top/>
      <bottom style="thin">
        <color rgb="FFD8D8D8"/>
      </bottom>
    </border>
    <border>
      <left/>
      <top style="thin">
        <color rgb="FFD8D8D8"/>
      </top>
      <bottom style="thin">
        <color rgb="FFD8D8D8"/>
      </bottom>
    </border>
    <border>
      <right/>
      <top style="thin">
        <color rgb="FFD8D8D8"/>
      </top>
      <bottom style="thin">
        <color rgb="FFD8D8D8"/>
      </bottom>
    </border>
    <border>
      <left style="medium">
        <color rgb="FFD8D8D8"/>
      </left>
      <right style="medium">
        <color rgb="FFD8D8D8"/>
      </right>
      <top style="medium">
        <color rgb="FFD8D8D8"/>
      </top>
      <bottom style="medium">
        <color rgb="FFD8D8D8"/>
      </bottom>
    </border>
    <border>
      <left style="thin">
        <color rgb="FFD8D8D8"/>
      </left>
      <right style="thin">
        <color rgb="FFD8D8D8"/>
      </right>
      <top/>
      <bottom style="thin">
        <color rgb="FFD8D8D8"/>
      </bottom>
    </border>
    <border>
      <left style="thin">
        <color rgb="FFD8D8D8"/>
      </left>
      <right/>
      <top style="thin">
        <color rgb="FFD8D8D8"/>
      </top>
      <bottom style="thin">
        <color rgb="FFD8D8D8"/>
      </bottom>
    </border>
  </borders>
  <cellStyleXfs count="1">
    <xf borderId="0" fillId="0" fontId="0" numFmtId="0" applyAlignment="1" applyFont="1"/>
  </cellStyleXfs>
  <cellXfs count="123">
    <xf borderId="0" fillId="0" fontId="0" numFmtId="0" xfId="0" applyAlignment="1" applyFont="1">
      <alignment readingOrder="0" shrinkToFit="0" vertical="bottom" wrapText="0"/>
    </xf>
    <xf borderId="1" fillId="2" fontId="1" numFmtId="0" xfId="0" applyBorder="1" applyFill="1" applyFont="1"/>
    <xf borderId="1" fillId="3" fontId="1" numFmtId="0" xfId="0" applyBorder="1" applyFill="1" applyFont="1"/>
    <xf borderId="2" fillId="3" fontId="2" numFmtId="0" xfId="0" applyAlignment="1" applyBorder="1" applyFont="1">
      <alignment horizontal="left" vertical="center"/>
    </xf>
    <xf borderId="3" fillId="0" fontId="3" numFmtId="0" xfId="0" applyBorder="1" applyFont="1"/>
    <xf borderId="4" fillId="0" fontId="3" numFmtId="0" xfId="0" applyBorder="1" applyFont="1"/>
    <xf borderId="1" fillId="3" fontId="2" numFmtId="0" xfId="0" applyAlignment="1" applyBorder="1" applyFont="1">
      <alignment vertical="center"/>
    </xf>
    <xf borderId="1" fillId="2" fontId="2" numFmtId="0" xfId="0" applyAlignment="1" applyBorder="1" applyFont="1">
      <alignment horizontal="left" vertical="center"/>
    </xf>
    <xf borderId="1" fillId="2" fontId="2" numFmtId="0" xfId="0" applyAlignment="1" applyBorder="1" applyFont="1">
      <alignment vertical="center"/>
    </xf>
    <xf borderId="2" fillId="2" fontId="4" numFmtId="0" xfId="0" applyAlignment="1" applyBorder="1" applyFont="1">
      <alignment horizontal="left" shrinkToFit="0" vertical="center" wrapText="1"/>
    </xf>
    <xf borderId="1" fillId="2" fontId="5" numFmtId="0" xfId="0" applyAlignment="1" applyBorder="1" applyFont="1">
      <alignment horizontal="left" vertical="center"/>
    </xf>
    <xf borderId="2" fillId="2" fontId="6" numFmtId="0" xfId="0" applyAlignment="1" applyBorder="1" applyFont="1">
      <alignment horizontal="left" vertical="center"/>
    </xf>
    <xf borderId="1" fillId="2" fontId="4" numFmtId="0" xfId="0" applyBorder="1" applyFont="1"/>
    <xf borderId="1" fillId="2" fontId="6" numFmtId="0" xfId="0" applyAlignment="1" applyBorder="1" applyFont="1">
      <alignment vertical="center"/>
    </xf>
    <xf borderId="1" fillId="2" fontId="4" numFmtId="0" xfId="0" applyAlignment="1" applyBorder="1" applyFont="1">
      <alignment horizontal="left" shrinkToFit="0" vertical="center" wrapText="1"/>
    </xf>
    <xf borderId="2" fillId="2" fontId="7" numFmtId="0" xfId="0" applyAlignment="1" applyBorder="1" applyFont="1">
      <alignment horizontal="left" shrinkToFit="0" vertical="center" wrapText="1"/>
    </xf>
    <xf borderId="1" fillId="2" fontId="8" numFmtId="0" xfId="0" applyBorder="1" applyFont="1"/>
    <xf borderId="1" fillId="3" fontId="8" numFmtId="0" xfId="0" applyBorder="1" applyFont="1"/>
    <xf borderId="0" fillId="0" fontId="9" numFmtId="0" xfId="0" applyFont="1"/>
    <xf borderId="0" fillId="0" fontId="10" numFmtId="0" xfId="0" applyAlignment="1" applyFont="1">
      <alignment horizontal="center"/>
    </xf>
    <xf borderId="5" fillId="0" fontId="9" numFmtId="0" xfId="0" applyBorder="1" applyFont="1"/>
    <xf borderId="2" fillId="2" fontId="11" numFmtId="0" xfId="0" applyAlignment="1" applyBorder="1" applyFont="1">
      <alignment horizontal="center" vertical="center"/>
    </xf>
    <xf borderId="0" fillId="0" fontId="9" numFmtId="164" xfId="0" applyFont="1" applyNumberFormat="1"/>
    <xf borderId="1" fillId="2" fontId="12" numFmtId="0" xfId="0" applyBorder="1" applyFont="1"/>
    <xf borderId="6" fillId="0" fontId="13" numFmtId="0" xfId="0" applyAlignment="1" applyBorder="1" applyFont="1">
      <alignment horizontal="center"/>
    </xf>
    <xf borderId="7" fillId="0" fontId="3" numFmtId="0" xfId="0" applyBorder="1" applyFont="1"/>
    <xf borderId="1" fillId="4" fontId="13" numFmtId="0" xfId="0" applyBorder="1" applyFill="1" applyFont="1"/>
    <xf borderId="0" fillId="0" fontId="9" numFmtId="165" xfId="0" applyFont="1" applyNumberFormat="1"/>
    <xf borderId="6" fillId="0" fontId="12" numFmtId="0" xfId="0" applyAlignment="1" applyBorder="1" applyFont="1">
      <alignment horizontal="center"/>
    </xf>
    <xf borderId="0" fillId="0" fontId="13" numFmtId="0" xfId="0" applyFont="1"/>
    <xf borderId="1" fillId="0" fontId="9" numFmtId="0" xfId="0" applyBorder="1" applyFont="1"/>
    <xf borderId="0" fillId="0" fontId="14" numFmtId="0" xfId="0" applyAlignment="1" applyFont="1">
      <alignment horizontal="right"/>
    </xf>
    <xf borderId="8" fillId="2" fontId="13" numFmtId="164" xfId="0" applyAlignment="1" applyBorder="1" applyFont="1" applyNumberFormat="1">
      <alignment horizontal="center"/>
    </xf>
    <xf borderId="2" fillId="0" fontId="14" numFmtId="0" xfId="0" applyAlignment="1" applyBorder="1" applyFont="1">
      <alignment horizontal="right" vertical="center"/>
    </xf>
    <xf borderId="1" fillId="5" fontId="13" numFmtId="0" xfId="0" applyAlignment="1" applyBorder="1" applyFill="1" applyFont="1">
      <alignment horizontal="center" vertical="center"/>
    </xf>
    <xf borderId="1" fillId="0" fontId="14" numFmtId="0" xfId="0" applyAlignment="1" applyBorder="1" applyFont="1">
      <alignment vertical="center"/>
    </xf>
    <xf borderId="1" fillId="0" fontId="13" numFmtId="0" xfId="0" applyAlignment="1" applyBorder="1" applyFont="1">
      <alignment vertical="center"/>
    </xf>
    <xf borderId="9" fillId="2" fontId="13" numFmtId="0" xfId="0" applyAlignment="1" applyBorder="1" applyFont="1">
      <alignment horizontal="center"/>
    </xf>
    <xf borderId="10" fillId="0" fontId="3" numFmtId="0" xfId="0" applyBorder="1" applyFont="1"/>
    <xf borderId="11" fillId="0" fontId="14" numFmtId="0" xfId="0" applyAlignment="1" applyBorder="1" applyFont="1">
      <alignment horizontal="right" vertical="center"/>
    </xf>
    <xf borderId="11" fillId="5" fontId="13" numFmtId="1" xfId="0" applyAlignment="1" applyBorder="1" applyFont="1" applyNumberFormat="1">
      <alignment horizontal="center"/>
    </xf>
    <xf borderId="0" fillId="0" fontId="9" numFmtId="0" xfId="0" applyAlignment="1" applyFont="1">
      <alignment vertical="center"/>
    </xf>
    <xf borderId="0" fillId="0" fontId="14" numFmtId="0" xfId="0" applyAlignment="1" applyFont="1">
      <alignment horizontal="right" vertical="center"/>
    </xf>
    <xf borderId="0" fillId="0" fontId="15" numFmtId="164" xfId="0" applyAlignment="1" applyFont="1" applyNumberFormat="1">
      <alignment horizontal="center" vertical="center"/>
    </xf>
    <xf borderId="5" fillId="0" fontId="9" numFmtId="0" xfId="0" applyAlignment="1" applyBorder="1" applyFont="1">
      <alignment vertical="center"/>
    </xf>
    <xf borderId="0" fillId="0" fontId="9" numFmtId="165" xfId="0" applyAlignment="1" applyFont="1" applyNumberFormat="1">
      <alignment vertical="center"/>
    </xf>
    <xf borderId="0" fillId="0" fontId="14" numFmtId="0" xfId="0" applyAlignment="1" applyFont="1">
      <alignment horizontal="center" vertical="top"/>
    </xf>
    <xf borderId="1" fillId="5" fontId="13" numFmtId="1" xfId="0" applyAlignment="1" applyBorder="1" applyFont="1" applyNumberFormat="1">
      <alignment horizontal="center" vertical="top"/>
    </xf>
    <xf borderId="2" fillId="4" fontId="13" numFmtId="164" xfId="0" applyAlignment="1" applyBorder="1" applyFont="1" applyNumberFormat="1">
      <alignment horizontal="center" vertical="center"/>
    </xf>
    <xf borderId="2" fillId="3" fontId="11" numFmtId="0" xfId="0" applyAlignment="1" applyBorder="1" applyFont="1">
      <alignment horizontal="center"/>
    </xf>
    <xf borderId="1" fillId="3" fontId="11" numFmtId="0" xfId="0" applyBorder="1" applyFont="1"/>
    <xf borderId="8" fillId="0" fontId="13" numFmtId="0" xfId="0" applyAlignment="1" applyBorder="1" applyFont="1">
      <alignment horizontal="center"/>
    </xf>
    <xf borderId="11" fillId="2" fontId="13" numFmtId="165" xfId="0" applyBorder="1" applyFont="1" applyNumberFormat="1"/>
    <xf borderId="11" fillId="0" fontId="16" numFmtId="0" xfId="0" applyAlignment="1" applyBorder="1" applyFont="1">
      <alignment horizontal="right"/>
    </xf>
    <xf borderId="11" fillId="5" fontId="13" numFmtId="165" xfId="0" applyBorder="1" applyFont="1" applyNumberFormat="1"/>
    <xf borderId="8" fillId="2" fontId="13" numFmtId="0" xfId="0" applyAlignment="1" applyBorder="1" applyFont="1">
      <alignment horizontal="center"/>
    </xf>
    <xf borderId="8" fillId="2" fontId="15" numFmtId="0" xfId="0" applyAlignment="1" applyBorder="1" applyFont="1">
      <alignment horizontal="right"/>
    </xf>
    <xf borderId="11" fillId="2" fontId="15" numFmtId="165" xfId="0" applyBorder="1" applyFont="1" applyNumberFormat="1"/>
    <xf borderId="0" fillId="0" fontId="9" numFmtId="22" xfId="0" applyFont="1" applyNumberFormat="1"/>
    <xf borderId="11" fillId="0" fontId="13" numFmtId="165" xfId="0" applyBorder="1" applyFont="1" applyNumberFormat="1"/>
    <xf borderId="0" fillId="0" fontId="9" numFmtId="1" xfId="0" applyFont="1" applyNumberFormat="1"/>
    <xf borderId="1" fillId="4" fontId="17" numFmtId="0" xfId="0" applyAlignment="1" applyBorder="1" applyFont="1">
      <alignment vertical="center"/>
    </xf>
    <xf borderId="0" fillId="0" fontId="15" numFmtId="0" xfId="0" applyFont="1"/>
    <xf borderId="12" fillId="3" fontId="11" numFmtId="0" xfId="0" applyAlignment="1" applyBorder="1" applyFont="1">
      <alignment horizontal="left"/>
    </xf>
    <xf borderId="13" fillId="0" fontId="3" numFmtId="0" xfId="0" applyBorder="1" applyFont="1"/>
    <xf borderId="14" fillId="0" fontId="3" numFmtId="0" xfId="0" applyBorder="1" applyFont="1"/>
    <xf borderId="11" fillId="0" fontId="13" numFmtId="0" xfId="0" applyAlignment="1" applyBorder="1" applyFont="1">
      <alignment horizontal="left"/>
    </xf>
    <xf borderId="15" fillId="2" fontId="15" numFmtId="164" xfId="0" applyAlignment="1" applyBorder="1" applyFont="1" applyNumberFormat="1">
      <alignment horizontal="center"/>
    </xf>
    <xf borderId="8" fillId="4" fontId="13" numFmtId="0" xfId="0" applyAlignment="1" applyBorder="1" applyFont="1">
      <alignment horizontal="center"/>
    </xf>
    <xf borderId="11" fillId="4" fontId="13" numFmtId="165" xfId="0" applyBorder="1" applyFont="1" applyNumberFormat="1"/>
    <xf borderId="2" fillId="3" fontId="11" numFmtId="0" xfId="0" applyAlignment="1" applyBorder="1" applyFont="1">
      <alignment horizontal="left" vertical="center"/>
    </xf>
    <xf borderId="0" fillId="0" fontId="18" numFmtId="0" xfId="0" applyAlignment="1" applyFont="1">
      <alignment vertical="center"/>
    </xf>
    <xf borderId="0" fillId="0" fontId="9" numFmtId="166" xfId="0" applyFont="1" applyNumberFormat="1"/>
    <xf borderId="2" fillId="2" fontId="15" numFmtId="0" xfId="0" applyAlignment="1" applyBorder="1" applyFont="1">
      <alignment horizontal="right"/>
    </xf>
    <xf borderId="1" fillId="2" fontId="15" numFmtId="165" xfId="0" applyBorder="1" applyFont="1" applyNumberFormat="1"/>
    <xf borderId="11" fillId="4" fontId="13" numFmtId="0" xfId="0" applyAlignment="1" applyBorder="1" applyFont="1">
      <alignment horizontal="left"/>
    </xf>
    <xf borderId="1" fillId="3" fontId="18" numFmtId="0" xfId="0" applyBorder="1" applyFont="1"/>
    <xf borderId="11" fillId="0" fontId="15" numFmtId="0" xfId="0" applyBorder="1" applyFont="1"/>
    <xf borderId="8" fillId="2" fontId="15" numFmtId="0" xfId="0" applyAlignment="1" applyBorder="1" applyFont="1">
      <alignment horizontal="left"/>
    </xf>
    <xf borderId="16" fillId="0" fontId="3" numFmtId="0" xfId="0" applyBorder="1" applyFont="1"/>
    <xf borderId="1" fillId="5" fontId="13" numFmtId="165" xfId="0" applyBorder="1" applyFont="1" applyNumberFormat="1"/>
    <xf borderId="0" fillId="0" fontId="15" numFmtId="0" xfId="0" applyAlignment="1" applyFont="1">
      <alignment horizontal="center"/>
    </xf>
    <xf borderId="0" fillId="0" fontId="15" numFmtId="165" xfId="0" applyAlignment="1" applyFont="1" applyNumberFormat="1">
      <alignment horizontal="center"/>
    </xf>
    <xf borderId="2" fillId="0" fontId="9" numFmtId="0" xfId="0" applyAlignment="1" applyBorder="1" applyFont="1">
      <alignment horizontal="center"/>
    </xf>
    <xf borderId="0" fillId="0" fontId="13" numFmtId="165" xfId="0" applyFont="1" applyNumberFormat="1"/>
    <xf borderId="1" fillId="0" fontId="15" numFmtId="0" xfId="0" applyAlignment="1" applyBorder="1" applyFont="1">
      <alignment horizontal="right"/>
    </xf>
    <xf borderId="11" fillId="0" fontId="13" numFmtId="0" xfId="0" applyAlignment="1" applyBorder="1" applyFont="1">
      <alignment horizontal="left"/>
    </xf>
    <xf borderId="11" fillId="2" fontId="15" numFmtId="0" xfId="0" applyBorder="1" applyFont="1"/>
    <xf borderId="2" fillId="3" fontId="11" numFmtId="0" xfId="0" applyAlignment="1" applyBorder="1" applyFont="1">
      <alignment horizontal="left"/>
    </xf>
    <xf borderId="1" fillId="0" fontId="15" numFmtId="0" xfId="0" applyBorder="1" applyFont="1"/>
    <xf borderId="11" fillId="0" fontId="15" numFmtId="0" xfId="0" applyBorder="1" applyFont="1"/>
    <xf borderId="11" fillId="5" fontId="15" numFmtId="165" xfId="0" applyBorder="1" applyFont="1" applyNumberFormat="1"/>
    <xf borderId="1" fillId="2" fontId="9" numFmtId="0" xfId="0" applyBorder="1" applyFont="1"/>
    <xf borderId="12" fillId="2" fontId="15" numFmtId="0" xfId="0" applyAlignment="1" applyBorder="1" applyFont="1">
      <alignment horizontal="right"/>
    </xf>
    <xf borderId="0" fillId="0" fontId="9" numFmtId="3" xfId="0" applyFont="1" applyNumberFormat="1"/>
    <xf borderId="0" fillId="0" fontId="9" numFmtId="167" xfId="0" applyFont="1" applyNumberFormat="1"/>
    <xf borderId="0" fillId="0" fontId="19" numFmtId="0" xfId="0" applyAlignment="1" applyFont="1">
      <alignment horizontal="left"/>
    </xf>
    <xf borderId="0" fillId="0" fontId="9" numFmtId="2" xfId="0" applyFont="1" applyNumberFormat="1"/>
    <xf borderId="0" fillId="0" fontId="13" numFmtId="0" xfId="0" applyAlignment="1" applyFont="1">
      <alignment horizontal="right"/>
    </xf>
    <xf borderId="11" fillId="2" fontId="15" numFmtId="0" xfId="0" applyAlignment="1" applyBorder="1" applyFont="1">
      <alignment horizontal="center"/>
    </xf>
    <xf borderId="11" fillId="0" fontId="13" numFmtId="0" xfId="0" applyBorder="1" applyFont="1"/>
    <xf borderId="1" fillId="3" fontId="11" numFmtId="0" xfId="0" applyAlignment="1" applyBorder="1" applyFont="1">
      <alignment horizontal="center"/>
    </xf>
    <xf borderId="0" fillId="0" fontId="9" numFmtId="0" xfId="0" applyAlignment="1" applyFont="1">
      <alignment horizontal="center"/>
    </xf>
    <xf borderId="8" fillId="0" fontId="15" numFmtId="0" xfId="0" applyAlignment="1" applyBorder="1" applyFont="1">
      <alignment horizontal="right"/>
    </xf>
    <xf borderId="11" fillId="5" fontId="15" numFmtId="2" xfId="0" applyBorder="1" applyFont="1" applyNumberFormat="1"/>
    <xf borderId="0" fillId="0" fontId="15" numFmtId="0" xfId="0" applyAlignment="1" applyFont="1">
      <alignment horizontal="right" vertical="center"/>
    </xf>
    <xf borderId="17" fillId="6" fontId="13" numFmtId="165" xfId="0" applyAlignment="1" applyBorder="1" applyFill="1" applyFont="1" applyNumberFormat="1">
      <alignment horizontal="right" vertical="center"/>
    </xf>
    <xf borderId="0" fillId="0" fontId="20" numFmtId="0" xfId="0" applyFont="1"/>
    <xf borderId="0" fillId="0" fontId="15" numFmtId="0" xfId="0" applyAlignment="1" applyFont="1">
      <alignment horizontal="right"/>
    </xf>
    <xf borderId="0" fillId="0" fontId="20" numFmtId="165" xfId="0" applyFont="1" applyNumberFormat="1"/>
    <xf borderId="11" fillId="2" fontId="13" numFmtId="10" xfId="0" applyAlignment="1" applyBorder="1" applyFont="1" applyNumberFormat="1">
      <alignment horizontal="center"/>
    </xf>
    <xf borderId="1" fillId="5" fontId="15" numFmtId="165" xfId="0" applyBorder="1" applyFont="1" applyNumberFormat="1"/>
    <xf borderId="0" fillId="0" fontId="15" numFmtId="165" xfId="0" applyFont="1" applyNumberFormat="1"/>
    <xf borderId="11" fillId="2" fontId="13" numFmtId="9" xfId="0" applyAlignment="1" applyBorder="1" applyFont="1" applyNumberFormat="1">
      <alignment horizontal="center"/>
    </xf>
    <xf borderId="11" fillId="0" fontId="13" numFmtId="0" xfId="0" applyAlignment="1" applyBorder="1" applyFont="1">
      <alignment horizontal="right"/>
    </xf>
    <xf borderId="0" fillId="0" fontId="20" numFmtId="0" xfId="0" applyAlignment="1" applyFont="1">
      <alignment horizontal="right"/>
    </xf>
    <xf borderId="18" fillId="5" fontId="15" numFmtId="165" xfId="0" applyBorder="1" applyFont="1" applyNumberFormat="1"/>
    <xf borderId="0" fillId="0" fontId="15" numFmtId="9" xfId="0" applyAlignment="1" applyFont="1" applyNumberFormat="1">
      <alignment horizontal="center"/>
    </xf>
    <xf borderId="0" fillId="0" fontId="15" numFmtId="0" xfId="0" applyAlignment="1" applyFont="1">
      <alignment horizontal="left"/>
    </xf>
    <xf borderId="2" fillId="3" fontId="11" numFmtId="0" xfId="0" applyAlignment="1" applyBorder="1" applyFont="1">
      <alignment horizontal="right" vertical="center"/>
    </xf>
    <xf borderId="19" fillId="6" fontId="13" numFmtId="165" xfId="0" applyBorder="1" applyFont="1" applyNumberFormat="1"/>
    <xf borderId="0" fillId="0" fontId="15" numFmtId="165" xfId="0" applyAlignment="1" applyFont="1" applyNumberFormat="1">
      <alignment horizontal="center" vertical="center"/>
    </xf>
    <xf borderId="0" fillId="0" fontId="14"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57150</xdr:colOff>
      <xdr:row>0</xdr:row>
      <xdr:rowOff>57150</xdr:rowOff>
    </xdr:from>
    <xdr:ext cx="1990725" cy="15811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16</xdr:col>
      <xdr:colOff>495300</xdr:colOff>
      <xdr:row>1</xdr:row>
      <xdr:rowOff>228600</xdr:rowOff>
    </xdr:from>
    <xdr:ext cx="2876550" cy="60960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152400</xdr:colOff>
      <xdr:row>0</xdr:row>
      <xdr:rowOff>9525</xdr:rowOff>
    </xdr:from>
    <xdr:ext cx="1990725" cy="15811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7</xdr:col>
      <xdr:colOff>542925</xdr:colOff>
      <xdr:row>1</xdr:row>
      <xdr:rowOff>209550</xdr:rowOff>
    </xdr:from>
    <xdr:ext cx="2876550" cy="609600"/>
    <xdr:pic>
      <xdr:nvPicPr>
        <xdr:cNvPr id="0" name="image4.pn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Tema de Office">
  <a:themeElements>
    <a:clrScheme name="Office">
      <a:dk1>
        <a:sysClr lastClr="000000" val="windowText"/>
      </a:dk1>
      <a:lt1>
        <a:sysClr lastClr="FFFFFF" val="window"/>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cap="flat" cmpd="sng" w="6350" algn="ctr">
          <a:solidFill>
            <a:schemeClr val="phClr"/>
          </a:solidFill>
          <a:prstDash val="solid"/>
          <a:miter lim="800000"/>
        </a:ln>
        <a:ln cap="flat" cmpd="sng" w="12700" algn="ctr">
          <a:solidFill>
            <a:schemeClr val="phClr"/>
          </a:solidFill>
          <a:prstDash val="solid"/>
          <a:miter lim="800000"/>
        </a:ln>
        <a:ln cap="flat" cmpd="sng" w="19050" algn="ctr">
          <a:solidFill>
            <a:schemeClr val="phClr"/>
          </a:solidFill>
          <a:prstDash val="solid"/>
          <a:miter lim="800000"/>
        </a:ln>
      </a:lnStyleLst>
      <a:effectStyleLst>
        <a:effectStyle>
          <a:effectLst/>
        </a:effectStyle>
        <a:effectStyle>
          <a:effectLst/>
        </a:effectStyle>
        <a:effectStyle>
          <a:effectLst>
            <a:outerShdw blurRad="57150" rotWithShape="0" algn="ctr" dir="5400000" dist="1905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2.38"/>
    <col customWidth="1" min="2" max="2" width="5.38"/>
    <col customWidth="1" min="3" max="3" width="2.38"/>
    <col customWidth="1" min="4" max="20" width="10.88"/>
    <col customWidth="1" min="21" max="21" width="5.38"/>
  </cols>
  <sheetData>
    <row r="1" ht="15.75" customHeight="1"/>
    <row r="2" ht="90.0" customHeight="1">
      <c r="B2" s="1"/>
      <c r="C2" s="1"/>
      <c r="D2" s="1"/>
      <c r="E2" s="1"/>
      <c r="F2" s="1"/>
      <c r="G2" s="1"/>
      <c r="H2" s="1"/>
      <c r="I2" s="1"/>
      <c r="J2" s="1"/>
      <c r="K2" s="1"/>
      <c r="L2" s="1"/>
      <c r="M2" s="1"/>
      <c r="N2" s="1"/>
      <c r="O2" s="1"/>
      <c r="P2" s="1"/>
      <c r="Q2" s="1"/>
      <c r="R2" s="1"/>
      <c r="S2" s="1"/>
      <c r="T2" s="1"/>
      <c r="U2" s="1"/>
    </row>
    <row r="3" ht="15.75" customHeight="1"/>
    <row r="4" ht="19.5" customHeight="1">
      <c r="B4" s="2"/>
      <c r="C4" s="2"/>
      <c r="D4" s="2"/>
      <c r="E4" s="2"/>
      <c r="F4" s="2"/>
      <c r="G4" s="2"/>
      <c r="H4" s="2"/>
      <c r="I4" s="2"/>
      <c r="J4" s="2"/>
      <c r="K4" s="2"/>
      <c r="L4" s="2"/>
      <c r="M4" s="2"/>
      <c r="N4" s="2"/>
      <c r="O4" s="2"/>
      <c r="P4" s="2"/>
      <c r="Q4" s="2"/>
      <c r="R4" s="2"/>
      <c r="S4" s="2"/>
      <c r="T4" s="2"/>
      <c r="U4" s="2"/>
    </row>
    <row r="5" ht="84.0" customHeight="1">
      <c r="B5" s="2"/>
      <c r="C5" s="3" t="s">
        <v>0</v>
      </c>
      <c r="D5" s="4"/>
      <c r="E5" s="4"/>
      <c r="F5" s="4"/>
      <c r="G5" s="4"/>
      <c r="H5" s="4"/>
      <c r="I5" s="4"/>
      <c r="J5" s="5"/>
      <c r="K5" s="6"/>
      <c r="L5" s="6"/>
      <c r="M5" s="6"/>
      <c r="N5" s="6"/>
      <c r="O5" s="6"/>
      <c r="P5" s="6"/>
      <c r="Q5" s="6"/>
      <c r="R5" s="6"/>
      <c r="S5" s="6"/>
      <c r="T5" s="6"/>
      <c r="U5" s="6"/>
    </row>
    <row r="6" ht="9.75" customHeight="1">
      <c r="B6" s="2"/>
      <c r="C6" s="7"/>
      <c r="D6" s="7"/>
      <c r="E6" s="7"/>
      <c r="F6" s="7"/>
      <c r="G6" s="7"/>
      <c r="H6" s="7"/>
      <c r="I6" s="7"/>
      <c r="J6" s="7"/>
      <c r="K6" s="8"/>
      <c r="L6" s="8"/>
      <c r="M6" s="8"/>
      <c r="N6" s="8"/>
      <c r="O6" s="8"/>
      <c r="P6" s="8"/>
      <c r="Q6" s="8"/>
      <c r="R6" s="8"/>
      <c r="S6" s="8"/>
      <c r="T6" s="8"/>
      <c r="U6" s="6"/>
    </row>
    <row r="7" ht="57.75" customHeight="1">
      <c r="B7" s="2"/>
      <c r="C7" s="1"/>
      <c r="D7" s="9" t="s">
        <v>1</v>
      </c>
      <c r="E7" s="4"/>
      <c r="F7" s="4"/>
      <c r="G7" s="4"/>
      <c r="H7" s="4"/>
      <c r="I7" s="4"/>
      <c r="J7" s="4"/>
      <c r="K7" s="4"/>
      <c r="L7" s="4"/>
      <c r="M7" s="4"/>
      <c r="N7" s="4"/>
      <c r="O7" s="4"/>
      <c r="P7" s="4"/>
      <c r="Q7" s="4"/>
      <c r="R7" s="4"/>
      <c r="S7" s="5"/>
      <c r="T7" s="10"/>
      <c r="U7" s="2"/>
    </row>
    <row r="8" ht="15.75" customHeight="1">
      <c r="B8" s="2"/>
      <c r="C8" s="1"/>
      <c r="D8" s="1"/>
      <c r="E8" s="1"/>
      <c r="F8" s="1"/>
      <c r="G8" s="1"/>
      <c r="H8" s="1"/>
      <c r="I8" s="1"/>
      <c r="J8" s="1"/>
      <c r="K8" s="1"/>
      <c r="L8" s="1"/>
      <c r="M8" s="1"/>
      <c r="N8" s="1"/>
      <c r="O8" s="1"/>
      <c r="P8" s="1"/>
      <c r="Q8" s="1"/>
      <c r="R8" s="1"/>
      <c r="S8" s="1"/>
      <c r="T8" s="1"/>
      <c r="U8" s="2"/>
    </row>
    <row r="9" ht="28.5" customHeight="1">
      <c r="B9" s="2"/>
      <c r="C9" s="1"/>
      <c r="D9" s="11" t="s">
        <v>2</v>
      </c>
      <c r="E9" s="4"/>
      <c r="F9" s="5"/>
      <c r="G9" s="12"/>
      <c r="H9" s="12"/>
      <c r="I9" s="12"/>
      <c r="J9" s="12"/>
      <c r="K9" s="12"/>
      <c r="L9" s="12"/>
      <c r="M9" s="12"/>
      <c r="N9" s="12"/>
      <c r="O9" s="12"/>
      <c r="P9" s="12"/>
      <c r="Q9" s="12"/>
      <c r="R9" s="12"/>
      <c r="S9" s="12"/>
      <c r="T9" s="12"/>
      <c r="U9" s="2"/>
    </row>
    <row r="10" ht="60.75" customHeight="1">
      <c r="B10" s="2"/>
      <c r="C10" s="1"/>
      <c r="D10" s="9" t="s">
        <v>3</v>
      </c>
      <c r="E10" s="4"/>
      <c r="F10" s="4"/>
      <c r="G10" s="4"/>
      <c r="H10" s="4"/>
      <c r="I10" s="4"/>
      <c r="J10" s="4"/>
      <c r="K10" s="4"/>
      <c r="L10" s="4"/>
      <c r="M10" s="4"/>
      <c r="N10" s="4"/>
      <c r="O10" s="4"/>
      <c r="P10" s="4"/>
      <c r="Q10" s="4"/>
      <c r="R10" s="4"/>
      <c r="S10" s="5"/>
      <c r="T10" s="12"/>
      <c r="U10" s="2"/>
    </row>
    <row r="11" ht="10.5" customHeight="1">
      <c r="B11" s="2"/>
      <c r="C11" s="1"/>
      <c r="D11" s="12"/>
      <c r="E11" s="12"/>
      <c r="F11" s="12"/>
      <c r="G11" s="12"/>
      <c r="H11" s="12"/>
      <c r="I11" s="12"/>
      <c r="J11" s="12"/>
      <c r="K11" s="12"/>
      <c r="L11" s="12"/>
      <c r="M11" s="12"/>
      <c r="N11" s="12"/>
      <c r="O11" s="12"/>
      <c r="P11" s="12"/>
      <c r="Q11" s="12"/>
      <c r="R11" s="12"/>
      <c r="S11" s="12"/>
      <c r="T11" s="12"/>
      <c r="U11" s="2"/>
    </row>
    <row r="12" ht="28.5" customHeight="1">
      <c r="B12" s="2"/>
      <c r="C12" s="1"/>
      <c r="D12" s="13" t="s">
        <v>4</v>
      </c>
      <c r="E12" s="13"/>
      <c r="F12" s="13"/>
      <c r="G12" s="13"/>
      <c r="H12" s="12"/>
      <c r="I12" s="12"/>
      <c r="J12" s="12"/>
      <c r="K12" s="12"/>
      <c r="L12" s="12"/>
      <c r="M12" s="12"/>
      <c r="N12" s="12"/>
      <c r="O12" s="12"/>
      <c r="P12" s="12"/>
      <c r="Q12" s="12"/>
      <c r="R12" s="12"/>
      <c r="S12" s="12"/>
      <c r="T12" s="12"/>
      <c r="U12" s="2"/>
    </row>
    <row r="13" ht="39.75" customHeight="1">
      <c r="B13" s="2"/>
      <c r="C13" s="1"/>
      <c r="D13" s="9" t="s">
        <v>5</v>
      </c>
      <c r="E13" s="4"/>
      <c r="F13" s="4"/>
      <c r="G13" s="4"/>
      <c r="H13" s="4"/>
      <c r="I13" s="4"/>
      <c r="J13" s="4"/>
      <c r="K13" s="4"/>
      <c r="L13" s="4"/>
      <c r="M13" s="4"/>
      <c r="N13" s="4"/>
      <c r="O13" s="4"/>
      <c r="P13" s="4"/>
      <c r="Q13" s="4"/>
      <c r="R13" s="4"/>
      <c r="S13" s="4"/>
      <c r="T13" s="5"/>
      <c r="U13" s="2"/>
    </row>
    <row r="14" ht="85.5" customHeight="1">
      <c r="B14" s="2"/>
      <c r="C14" s="1"/>
      <c r="D14" s="9" t="s">
        <v>6</v>
      </c>
      <c r="E14" s="4"/>
      <c r="F14" s="4"/>
      <c r="G14" s="4"/>
      <c r="H14" s="4"/>
      <c r="I14" s="4"/>
      <c r="J14" s="4"/>
      <c r="K14" s="4"/>
      <c r="L14" s="4"/>
      <c r="M14" s="4"/>
      <c r="N14" s="4"/>
      <c r="O14" s="4"/>
      <c r="P14" s="4"/>
      <c r="Q14" s="4"/>
      <c r="R14" s="4"/>
      <c r="S14" s="5"/>
      <c r="T14" s="14"/>
      <c r="U14" s="2"/>
    </row>
    <row r="15" ht="72.0" customHeight="1">
      <c r="B15" s="2"/>
      <c r="C15" s="1"/>
      <c r="D15" s="9" t="s">
        <v>7</v>
      </c>
      <c r="E15" s="4"/>
      <c r="F15" s="4"/>
      <c r="G15" s="4"/>
      <c r="H15" s="4"/>
      <c r="I15" s="4"/>
      <c r="J15" s="4"/>
      <c r="K15" s="4"/>
      <c r="L15" s="4"/>
      <c r="M15" s="4"/>
      <c r="N15" s="4"/>
      <c r="O15" s="4"/>
      <c r="P15" s="4"/>
      <c r="Q15" s="4"/>
      <c r="R15" s="4"/>
      <c r="S15" s="5"/>
      <c r="T15" s="14"/>
      <c r="U15" s="2"/>
    </row>
    <row r="16" ht="43.5" customHeight="1">
      <c r="B16" s="2"/>
      <c r="C16" s="1"/>
      <c r="D16" s="9" t="s">
        <v>8</v>
      </c>
      <c r="E16" s="4"/>
      <c r="F16" s="4"/>
      <c r="G16" s="4"/>
      <c r="H16" s="4"/>
      <c r="I16" s="4"/>
      <c r="J16" s="4"/>
      <c r="K16" s="4"/>
      <c r="L16" s="4"/>
      <c r="M16" s="4"/>
      <c r="N16" s="4"/>
      <c r="O16" s="4"/>
      <c r="P16" s="4"/>
      <c r="Q16" s="4"/>
      <c r="R16" s="4"/>
      <c r="S16" s="4"/>
      <c r="T16" s="5"/>
      <c r="U16" s="2"/>
    </row>
    <row r="17" ht="43.5" customHeight="1">
      <c r="B17" s="2"/>
      <c r="C17" s="1"/>
      <c r="D17" s="14"/>
      <c r="E17" s="14"/>
      <c r="F17" s="14"/>
      <c r="G17" s="14"/>
      <c r="H17" s="14"/>
      <c r="I17" s="14"/>
      <c r="J17" s="14"/>
      <c r="K17" s="14"/>
      <c r="L17" s="14"/>
      <c r="M17" s="14"/>
      <c r="N17" s="14"/>
      <c r="O17" s="14"/>
      <c r="P17" s="14"/>
      <c r="Q17" s="14"/>
      <c r="R17" s="14"/>
      <c r="S17" s="14"/>
      <c r="T17" s="14"/>
      <c r="U17" s="2"/>
    </row>
    <row r="18" ht="67.5" customHeight="1">
      <c r="B18" s="2"/>
      <c r="C18" s="1"/>
      <c r="D18" s="15" t="s">
        <v>9</v>
      </c>
      <c r="E18" s="4"/>
      <c r="F18" s="4"/>
      <c r="G18" s="4"/>
      <c r="H18" s="4"/>
      <c r="I18" s="4"/>
      <c r="J18" s="4"/>
      <c r="K18" s="4"/>
      <c r="L18" s="4"/>
      <c r="M18" s="4"/>
      <c r="N18" s="4"/>
      <c r="O18" s="4"/>
      <c r="P18" s="4"/>
      <c r="Q18" s="4"/>
      <c r="R18" s="4"/>
      <c r="S18" s="5"/>
      <c r="T18" s="14"/>
      <c r="U18" s="2"/>
    </row>
    <row r="19" ht="19.5" customHeight="1">
      <c r="B19" s="2"/>
      <c r="C19" s="1"/>
      <c r="D19" s="16"/>
      <c r="E19" s="16"/>
      <c r="F19" s="16"/>
      <c r="G19" s="16"/>
      <c r="H19" s="16"/>
      <c r="I19" s="16"/>
      <c r="J19" s="16"/>
      <c r="K19" s="16"/>
      <c r="L19" s="16"/>
      <c r="M19" s="16"/>
      <c r="N19" s="16"/>
      <c r="O19" s="16"/>
      <c r="P19" s="16"/>
      <c r="Q19" s="16"/>
      <c r="R19" s="16"/>
      <c r="S19" s="16"/>
      <c r="T19" s="16"/>
      <c r="U19" s="2"/>
    </row>
    <row r="20" ht="39.75" customHeight="1">
      <c r="B20" s="2"/>
      <c r="C20" s="2"/>
      <c r="D20" s="17"/>
      <c r="E20" s="17"/>
      <c r="F20" s="17"/>
      <c r="G20" s="17"/>
      <c r="H20" s="17"/>
      <c r="I20" s="17"/>
      <c r="J20" s="17"/>
      <c r="K20" s="17"/>
      <c r="L20" s="17"/>
      <c r="M20" s="17"/>
      <c r="N20" s="17"/>
      <c r="O20" s="17"/>
      <c r="P20" s="17"/>
      <c r="Q20" s="17"/>
      <c r="R20" s="17"/>
      <c r="S20" s="17"/>
      <c r="T20" s="17"/>
      <c r="U20" s="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9">
    <mergeCell ref="D14:S14"/>
    <mergeCell ref="D15:S15"/>
    <mergeCell ref="D18:S18"/>
    <mergeCell ref="D10:S10"/>
    <mergeCell ref="D16:T16"/>
    <mergeCell ref="C5:J5"/>
    <mergeCell ref="D7:S7"/>
    <mergeCell ref="D9:F9"/>
    <mergeCell ref="D13:T13"/>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2.38"/>
    <col customWidth="1" min="2" max="2" width="16.5"/>
    <col customWidth="1" min="3" max="3" width="28.63"/>
    <col customWidth="1" min="4" max="4" width="13.0"/>
    <col customWidth="1" min="5" max="5" width="18.13"/>
    <col customWidth="1" min="6" max="6" width="20.38"/>
    <col customWidth="1" min="7" max="7" width="17.5"/>
    <col customWidth="1" min="8" max="8" width="14.0"/>
    <col customWidth="1" min="9" max="9" width="34.63"/>
    <col customWidth="1" hidden="1" min="10" max="10" width="12.5"/>
    <col customWidth="1" hidden="1" min="11" max="11" width="21.0"/>
    <col customWidth="1" hidden="1" min="12" max="12" width="21.5"/>
    <col customWidth="1" hidden="1" min="13" max="13" width="20.0"/>
    <col customWidth="1" hidden="1" min="14" max="14" width="22.63"/>
    <col customWidth="1" hidden="1" min="15" max="15" width="11.5"/>
    <col customWidth="1" hidden="1" min="16" max="20" width="10.63"/>
  </cols>
  <sheetData>
    <row r="1" ht="15.75" customHeight="1">
      <c r="A1" s="18"/>
      <c r="B1" s="19"/>
      <c r="D1" s="18"/>
      <c r="E1" s="18"/>
      <c r="F1" s="18"/>
      <c r="G1" s="18"/>
      <c r="H1" s="18"/>
      <c r="I1" s="18"/>
      <c r="J1" s="20"/>
      <c r="K1" s="18"/>
      <c r="L1" s="18"/>
      <c r="M1" s="18"/>
      <c r="N1" s="18"/>
      <c r="O1" s="18"/>
      <c r="P1" s="18"/>
      <c r="Q1" s="18"/>
      <c r="R1" s="18"/>
      <c r="S1" s="18"/>
      <c r="T1" s="18"/>
    </row>
    <row r="2" ht="90.0" customHeight="1">
      <c r="A2" s="18"/>
      <c r="B2" s="21"/>
      <c r="C2" s="4"/>
      <c r="D2" s="4"/>
      <c r="E2" s="4"/>
      <c r="F2" s="4"/>
      <c r="G2" s="4"/>
      <c r="H2" s="4"/>
      <c r="I2" s="5"/>
      <c r="J2" s="20"/>
      <c r="K2" s="22" t="str">
        <f>IF(E9&gt;E14,E9,E14)</f>
        <v>1 de July de 2022</v>
      </c>
      <c r="L2" s="18"/>
      <c r="M2" s="18"/>
      <c r="N2" s="18"/>
      <c r="O2" s="18"/>
      <c r="P2" s="18"/>
      <c r="Q2" s="18"/>
      <c r="R2" s="18"/>
      <c r="S2" s="18"/>
      <c r="T2" s="18"/>
    </row>
    <row r="3">
      <c r="A3" s="18"/>
      <c r="B3" s="18"/>
      <c r="C3" s="18"/>
      <c r="D3" s="18"/>
      <c r="E3" s="18"/>
      <c r="F3" s="18"/>
      <c r="G3" s="18"/>
      <c r="H3" s="18"/>
      <c r="I3" s="18"/>
      <c r="J3" s="20"/>
      <c r="K3" s="22" t="str">
        <f>IF(G14&gt;E9,G14,E9)</f>
        <v>1 de January de 2023</v>
      </c>
      <c r="L3" s="18"/>
      <c r="M3" s="18"/>
      <c r="N3" s="18"/>
      <c r="O3" s="18"/>
      <c r="P3" s="18"/>
      <c r="Q3" s="18"/>
      <c r="R3" s="18"/>
      <c r="S3" s="18"/>
      <c r="T3" s="18"/>
    </row>
    <row r="4" ht="24.75" customHeight="1">
      <c r="A4" s="18"/>
      <c r="B4" s="23" t="s">
        <v>10</v>
      </c>
      <c r="C4" s="24"/>
      <c r="D4" s="25"/>
      <c r="E4" s="26"/>
      <c r="F4" s="26"/>
      <c r="G4" s="26"/>
      <c r="H4" s="26"/>
      <c r="I4" s="26"/>
      <c r="J4" s="18"/>
      <c r="K4" s="22" t="str">
        <f>IF(E9&gt;E16,E9,E16)</f>
        <v>31 de May de 2021</v>
      </c>
      <c r="L4" s="18"/>
      <c r="M4" s="18"/>
      <c r="N4" s="18"/>
      <c r="O4" s="18"/>
      <c r="P4" s="18"/>
      <c r="Q4" s="18"/>
      <c r="R4" s="18"/>
      <c r="S4" s="18"/>
      <c r="T4" s="18"/>
    </row>
    <row r="5" ht="24.75" customHeight="1">
      <c r="A5" s="18"/>
      <c r="B5" s="23" t="s">
        <v>11</v>
      </c>
      <c r="C5" s="24"/>
      <c r="D5" s="25"/>
      <c r="E5" s="26"/>
      <c r="F5" s="26"/>
      <c r="G5" s="26"/>
      <c r="H5" s="26"/>
      <c r="I5" s="26"/>
      <c r="J5" s="18"/>
      <c r="K5" s="22" t="str">
        <f>IF(G16&gt;E9,G16,E9)</f>
        <v>31 de May de 2021</v>
      </c>
      <c r="L5" s="18"/>
      <c r="M5" s="18"/>
      <c r="N5" s="18"/>
      <c r="O5" s="18"/>
      <c r="P5" s="18"/>
      <c r="Q5" s="18"/>
      <c r="R5" s="18"/>
      <c r="S5" s="18"/>
      <c r="T5" s="18"/>
    </row>
    <row r="6" ht="24.75" customHeight="1">
      <c r="A6" s="18"/>
      <c r="B6" s="23" t="s">
        <v>12</v>
      </c>
      <c r="C6" s="24"/>
      <c r="D6" s="25"/>
      <c r="E6" s="26"/>
      <c r="F6" s="26"/>
      <c r="G6" s="26"/>
      <c r="H6" s="26"/>
      <c r="I6" s="26"/>
      <c r="J6" s="18"/>
      <c r="K6" s="27" t="str">
        <f>IFERROR(__xludf.DUMMYFUNCTION("+$K$44+$K$45+K46+K47"),1997.260273972603)</f>
        <v>1,997.26 €</v>
      </c>
      <c r="L6" s="18"/>
      <c r="M6" s="18"/>
      <c r="N6" s="18"/>
      <c r="O6" s="18"/>
      <c r="P6" s="18"/>
      <c r="Q6" s="18"/>
      <c r="R6" s="18"/>
      <c r="S6" s="18"/>
      <c r="T6" s="18"/>
    </row>
    <row r="7" ht="24.75" customHeight="1">
      <c r="A7" s="18"/>
      <c r="B7" s="23" t="s">
        <v>13</v>
      </c>
      <c r="C7" s="28"/>
      <c r="D7" s="25"/>
      <c r="E7" s="29"/>
      <c r="F7" s="29"/>
      <c r="G7" s="29"/>
      <c r="H7" s="29"/>
      <c r="I7" s="29"/>
      <c r="J7" s="18"/>
      <c r="K7" s="18"/>
      <c r="L7" s="18"/>
      <c r="M7" s="18"/>
      <c r="N7" s="18"/>
      <c r="O7" s="18"/>
      <c r="P7" s="18"/>
      <c r="Q7" s="18"/>
      <c r="R7" s="18"/>
      <c r="S7" s="18"/>
      <c r="T7" s="18"/>
    </row>
    <row r="8">
      <c r="A8" s="18"/>
      <c r="B8" s="18"/>
      <c r="C8" s="18"/>
      <c r="D8" s="18"/>
      <c r="E8" s="18"/>
      <c r="F8" s="18"/>
      <c r="G8" s="30"/>
      <c r="H8" s="30"/>
      <c r="I8" s="30"/>
      <c r="J8" s="20"/>
      <c r="K8" s="18"/>
      <c r="L8" s="18"/>
      <c r="M8" s="18"/>
      <c r="N8" s="18"/>
      <c r="O8" s="18"/>
      <c r="P8" s="18"/>
      <c r="Q8" s="18"/>
      <c r="R8" s="18"/>
      <c r="S8" s="18"/>
      <c r="T8" s="18"/>
    </row>
    <row r="9">
      <c r="A9" s="18"/>
      <c r="B9" s="31" t="s">
        <v>14</v>
      </c>
      <c r="E9" s="32">
        <v>44347.0</v>
      </c>
      <c r="F9" s="25"/>
      <c r="G9" s="33" t="s">
        <v>15</v>
      </c>
      <c r="H9" s="5"/>
      <c r="I9" s="34" t="str">
        <f>IFERROR(__xludf.DUMMYFUNCTION("+E10-E9+1"),731.0)</f>
        <v>731</v>
      </c>
      <c r="J9" s="20"/>
      <c r="K9" s="18"/>
      <c r="L9" s="18"/>
      <c r="M9" s="18"/>
      <c r="N9" s="18"/>
      <c r="O9" s="18"/>
      <c r="P9" s="18"/>
      <c r="Q9" s="18"/>
      <c r="R9" s="18"/>
      <c r="S9" s="18"/>
      <c r="T9" s="18"/>
    </row>
    <row r="10">
      <c r="A10" s="18"/>
      <c r="B10" s="31" t="s">
        <v>16</v>
      </c>
      <c r="E10" s="32">
        <v>45077.0</v>
      </c>
      <c r="F10" s="25"/>
      <c r="G10" s="35"/>
      <c r="H10" s="35"/>
      <c r="I10" s="36"/>
      <c r="J10" s="20"/>
      <c r="K10" s="18"/>
      <c r="L10" s="18"/>
      <c r="M10" s="18"/>
      <c r="N10" s="18"/>
      <c r="O10" s="18"/>
      <c r="P10" s="18"/>
      <c r="Q10" s="18"/>
      <c r="R10" s="18"/>
      <c r="S10" s="18"/>
      <c r="T10" s="18"/>
    </row>
    <row r="11" ht="18.75" customHeight="1">
      <c r="A11" s="18"/>
      <c r="B11" s="31" t="s">
        <v>17</v>
      </c>
      <c r="E11" s="37">
        <v>2.0</v>
      </c>
      <c r="F11" s="38"/>
      <c r="G11" s="35"/>
      <c r="H11" s="35"/>
      <c r="I11" s="36"/>
      <c r="J11" s="20"/>
      <c r="K11" s="27" t="str">
        <f>SUM(F18:F21)</f>
        <v>3,000.00 €</v>
      </c>
      <c r="L11" s="18"/>
      <c r="M11" s="18"/>
      <c r="N11" s="18"/>
      <c r="O11" s="18"/>
      <c r="P11" s="18"/>
      <c r="Q11" s="18"/>
      <c r="R11" s="18"/>
      <c r="S11" s="18"/>
      <c r="T11" s="18"/>
    </row>
    <row r="12">
      <c r="A12" s="18"/>
      <c r="B12" s="18"/>
      <c r="C12" s="18"/>
      <c r="D12" s="18"/>
      <c r="E12" s="18"/>
      <c r="F12" s="18"/>
      <c r="G12" s="18"/>
      <c r="H12" s="18"/>
      <c r="I12" s="18"/>
      <c r="J12" s="20"/>
      <c r="K12" s="27" t="str">
        <f>IFERROR(__xludf.DUMMYFUNCTION("+K11/365"),8.219178082191782)</f>
        <v>8.22 €</v>
      </c>
      <c r="L12" s="18" t="str">
        <f>IF(E52&gt;L13,E52-L13,0)</f>
        <v>0</v>
      </c>
      <c r="M12" s="18"/>
      <c r="N12" s="18"/>
      <c r="O12" s="18"/>
      <c r="P12" s="18"/>
      <c r="Q12" s="18"/>
      <c r="R12" s="18"/>
      <c r="S12" s="18"/>
      <c r="T12" s="18"/>
    </row>
    <row r="13">
      <c r="A13" s="18"/>
      <c r="B13" s="31" t="s">
        <v>18</v>
      </c>
      <c r="E13" s="39" t="s">
        <v>19</v>
      </c>
      <c r="F13" s="40" t="str">
        <f>IFERROR(__xludf.DUMMYFUNCTION("+E10-K2+1"),335.0)</f>
        <v>335</v>
      </c>
      <c r="G13" s="39" t="s">
        <v>20</v>
      </c>
      <c r="H13" s="40" t="str">
        <f>IFERROR(__xludf.DUMMYFUNCTION("+E10-K3+1"),151.0)</f>
        <v>151</v>
      </c>
      <c r="I13" s="18"/>
      <c r="J13" s="20"/>
      <c r="K13" s="27" t="str">
        <f>IFERROR(__xludf.DUMMYFUNCTION("+D24*12/365"),49.31506849315068)</f>
        <v>49.32 €</v>
      </c>
      <c r="L13" s="27" t="str">
        <f>IFERROR(__xludf.DUMMYFUNCTION("+K14*1277.5"),73500.0)</f>
        <v>73,500.00 €</v>
      </c>
      <c r="M13" s="18"/>
      <c r="N13" s="18"/>
      <c r="O13" s="18"/>
      <c r="P13" s="18"/>
      <c r="Q13" s="18"/>
      <c r="R13" s="18"/>
      <c r="S13" s="18"/>
      <c r="T13" s="18"/>
    </row>
    <row r="14" ht="24.0" customHeight="1">
      <c r="A14" s="41"/>
      <c r="B14" s="42" t="s">
        <v>21</v>
      </c>
      <c r="E14" s="43">
        <v>44743.0</v>
      </c>
      <c r="G14" s="43">
        <v>44927.0</v>
      </c>
      <c r="I14" s="41"/>
      <c r="J14" s="44"/>
      <c r="K14" s="45" t="str">
        <f>IFERROR(__xludf.DUMMYFUNCTION("+K13+K12+(((D26+D27)*12)/365)"),57.534246575342465)</f>
        <v>57.53 €</v>
      </c>
      <c r="L14" s="45" t="str">
        <f>IFERROR(__xludf.DUMMYFUNCTION("+K14*E51"),0.0)</f>
        <v>0.00 €</v>
      </c>
      <c r="M14" s="41"/>
      <c r="N14" s="41"/>
      <c r="O14" s="41"/>
      <c r="P14" s="41"/>
      <c r="Q14" s="41"/>
      <c r="R14" s="41"/>
      <c r="S14" s="41"/>
      <c r="T14" s="41"/>
    </row>
    <row r="15" ht="18.0" customHeight="1">
      <c r="A15" s="18"/>
      <c r="B15" s="18"/>
      <c r="C15" s="18"/>
      <c r="D15" s="18"/>
      <c r="E15" s="46" t="s">
        <v>22</v>
      </c>
      <c r="F15" s="47" t="str">
        <f>IFERROR(__xludf.DUMMYFUNCTION("IF(E11&gt;2,+E10-K4+1,0)"),0.0)</f>
        <v>0</v>
      </c>
      <c r="G15" s="46" t="s">
        <v>23</v>
      </c>
      <c r="H15" s="47" t="str">
        <f>IFERROR(__xludf.DUMMYFUNCTION("IF(E11&gt;3,+E10-K5+1,0)"),0.0)</f>
        <v>0</v>
      </c>
      <c r="I15" s="18"/>
      <c r="J15" s="20"/>
      <c r="K15" s="18"/>
      <c r="L15" s="18" t="str">
        <f>IFERROR(__xludf.DUMMYFUNCTION("+IF(D51&gt;45,45,D51)"),0.0)</f>
        <v>0</v>
      </c>
      <c r="M15" s="18"/>
      <c r="N15" s="18"/>
      <c r="O15" s="18"/>
      <c r="P15" s="18"/>
      <c r="Q15" s="18"/>
      <c r="R15" s="18"/>
      <c r="S15" s="18"/>
      <c r="T15" s="18"/>
    </row>
    <row r="16" ht="19.5" customHeight="1">
      <c r="A16" s="18"/>
      <c r="B16" s="42" t="s">
        <v>21</v>
      </c>
      <c r="E16" s="48"/>
      <c r="F16" s="5"/>
      <c r="G16" s="48"/>
      <c r="H16" s="5"/>
      <c r="I16" s="18"/>
      <c r="J16" s="20"/>
      <c r="K16" s="18"/>
      <c r="L16" s="18" t="str">
        <f>IFERROR(__xludf.DUMMYFUNCTION("+IF((I9/365)*L15&gt;1277.5,1277.5,(I9/365)*L15)"),0.0)</f>
        <v>0</v>
      </c>
      <c r="M16" s="18"/>
      <c r="N16" s="18"/>
      <c r="O16" s="18"/>
      <c r="P16" s="18"/>
      <c r="Q16" s="18"/>
      <c r="R16" s="18"/>
      <c r="S16" s="18"/>
      <c r="T16" s="18"/>
    </row>
    <row r="17">
      <c r="A17" s="18"/>
      <c r="B17" s="49" t="s">
        <v>24</v>
      </c>
      <c r="C17" s="5"/>
      <c r="D17" s="50"/>
      <c r="E17" s="49" t="s">
        <v>25</v>
      </c>
      <c r="F17" s="5"/>
      <c r="G17" s="49" t="s">
        <v>26</v>
      </c>
      <c r="H17" s="5"/>
      <c r="I17" s="18"/>
      <c r="J17" s="20"/>
      <c r="K17" s="18"/>
      <c r="L17" s="27" t="str">
        <f>IFERROR(__xludf.DUMMYFUNCTION("+L16*K14"),0.0)</f>
        <v>0.00 €</v>
      </c>
      <c r="M17" s="18"/>
      <c r="N17" s="18"/>
      <c r="O17" s="18"/>
      <c r="P17" s="18"/>
      <c r="Q17" s="18"/>
      <c r="R17" s="18"/>
      <c r="S17" s="18"/>
      <c r="T17" s="18"/>
    </row>
    <row r="18">
      <c r="A18" s="18"/>
      <c r="B18" s="51" t="s">
        <v>27</v>
      </c>
      <c r="C18" s="25"/>
      <c r="D18" s="52">
        <v>1500.0</v>
      </c>
      <c r="E18" s="53" t="s">
        <v>28</v>
      </c>
      <c r="F18" s="54" t="str">
        <f>IFERROR(__xludf.DUMMYFUNCTION("+N60"),1500.0)</f>
        <v>1,500.00 €</v>
      </c>
      <c r="G18" s="55">
        <v>30.0</v>
      </c>
      <c r="H18" s="25"/>
      <c r="I18" s="18"/>
      <c r="J18" s="20"/>
      <c r="K18" s="18"/>
      <c r="L18" s="18"/>
      <c r="M18" s="18"/>
      <c r="N18" s="18"/>
      <c r="O18" s="18"/>
      <c r="P18" s="18"/>
      <c r="Q18" s="18"/>
      <c r="R18" s="18"/>
      <c r="S18" s="18"/>
      <c r="T18" s="18"/>
    </row>
    <row r="19">
      <c r="A19" s="18"/>
      <c r="B19" s="56"/>
      <c r="C19" s="25"/>
      <c r="D19" s="57">
        <v>0.0</v>
      </c>
      <c r="E19" s="53" t="s">
        <v>29</v>
      </c>
      <c r="F19" s="54" t="str">
        <f>IFERROR(__xludf.DUMMYFUNCTION("+M61"),1500.0)</f>
        <v>1,500.00 €</v>
      </c>
      <c r="G19" s="55">
        <v>30.0</v>
      </c>
      <c r="H19" s="25"/>
      <c r="I19" s="18"/>
      <c r="J19" s="20"/>
      <c r="K19" s="58" t="str">
        <f>IFERROR(__xludf.DUMMYFUNCTION("+E10"),45077.0)</f>
        <v>5/31/23 0:00</v>
      </c>
      <c r="L19" s="27" t="str">
        <f>IFERROR(__xludf.DUMMYFUNCTION("+L14-L17"),0.0)</f>
        <v>0.00 €</v>
      </c>
      <c r="M19" s="18"/>
      <c r="N19" s="18"/>
      <c r="O19" s="18"/>
      <c r="P19" s="18"/>
      <c r="Q19" s="18"/>
      <c r="R19" s="18"/>
      <c r="S19" s="18"/>
      <c r="T19" s="18"/>
    </row>
    <row r="20">
      <c r="A20" s="18"/>
      <c r="B20" s="56"/>
      <c r="C20" s="25"/>
      <c r="D20" s="57">
        <v>0.0</v>
      </c>
      <c r="E20" s="53" t="s">
        <v>22</v>
      </c>
      <c r="F20" s="59" t="str">
        <f>IFERROR(__xludf.DUMMYFUNCTION("+M62"),0.0)</f>
        <v>0.00 €</v>
      </c>
      <c r="G20" s="55">
        <v>30.0</v>
      </c>
      <c r="H20" s="25"/>
      <c r="I20" s="18"/>
      <c r="J20" s="20"/>
      <c r="K20" s="60" t="str">
        <f>IFERROR(__xludf.DUMMYFUNCTION("+E10-L20"),334.0)</f>
        <v>334</v>
      </c>
      <c r="L20" s="58" t="str">
        <f>IF($E$9&gt;E14,$E$9,E14)</f>
        <v>7/1/22 0:00</v>
      </c>
      <c r="M20" s="60" t="str">
        <f>IF(K20&gt;K21,K21,K20)+1</f>
        <v>151</v>
      </c>
      <c r="N20" s="18"/>
      <c r="O20" s="18"/>
      <c r="P20" s="18"/>
      <c r="Q20" s="18"/>
      <c r="R20" s="61"/>
      <c r="S20" s="61"/>
      <c r="T20" s="61"/>
    </row>
    <row r="21" ht="15.75" customHeight="1">
      <c r="A21" s="18"/>
      <c r="B21" s="56"/>
      <c r="C21" s="25"/>
      <c r="D21" s="57">
        <v>0.0</v>
      </c>
      <c r="E21" s="53" t="s">
        <v>23</v>
      </c>
      <c r="F21" s="59" t="str">
        <f>IFERROR(__xludf.DUMMYFUNCTION("+M63"),0.0)</f>
        <v>0.00 €</v>
      </c>
      <c r="G21" s="55">
        <v>30.0</v>
      </c>
      <c r="H21" s="25"/>
      <c r="I21" s="18"/>
      <c r="J21" s="20"/>
      <c r="K21" s="60" t="str">
        <f>IFERROR(__xludf.DUMMYFUNCTION("+E10-G14"),150.0)</f>
        <v>150</v>
      </c>
      <c r="L21" s="58" t="str">
        <f>IF($E$9&gt;G14,$E$9,G14)</f>
        <v>1/1/23 0:00</v>
      </c>
      <c r="M21" s="18"/>
      <c r="N21" s="18"/>
      <c r="O21" s="18"/>
      <c r="P21" s="18"/>
      <c r="Q21" s="18"/>
      <c r="R21" s="61"/>
      <c r="S21" s="61"/>
      <c r="T21" s="61"/>
    </row>
    <row r="22" ht="15.75" customHeight="1">
      <c r="A22" s="18"/>
      <c r="B22" s="56"/>
      <c r="C22" s="25"/>
      <c r="D22" s="57">
        <v>0.0</v>
      </c>
      <c r="E22" s="18"/>
      <c r="F22" s="62"/>
      <c r="G22" s="63" t="s">
        <v>30</v>
      </c>
      <c r="H22" s="64"/>
      <c r="I22" s="65"/>
      <c r="J22" s="20"/>
      <c r="K22" s="18"/>
      <c r="L22" s="18"/>
      <c r="M22" s="18"/>
      <c r="N22" s="18"/>
      <c r="O22" s="18"/>
      <c r="P22" s="18"/>
      <c r="Q22" s="18"/>
      <c r="R22" s="18"/>
      <c r="S22" s="18"/>
      <c r="T22" s="18"/>
    </row>
    <row r="23" ht="15.75" customHeight="1">
      <c r="A23" s="18"/>
      <c r="B23" s="56"/>
      <c r="C23" s="25"/>
      <c r="D23" s="57">
        <v>0.0</v>
      </c>
      <c r="E23" s="18"/>
      <c r="F23" s="18"/>
      <c r="G23" s="66" t="s">
        <v>31</v>
      </c>
      <c r="H23" s="67"/>
      <c r="I23" s="25"/>
      <c r="J23" s="20"/>
      <c r="K23" s="18"/>
      <c r="L23" s="18"/>
      <c r="M23" s="18"/>
      <c r="N23" s="18"/>
      <c r="O23" s="18"/>
      <c r="P23" s="18"/>
      <c r="Q23" s="18"/>
      <c r="R23" s="18"/>
      <c r="S23" s="18"/>
      <c r="T23" s="18"/>
    </row>
    <row r="24" ht="15.75" customHeight="1">
      <c r="A24" s="18"/>
      <c r="B24" s="68" t="s">
        <v>32</v>
      </c>
      <c r="C24" s="25"/>
      <c r="D24" s="69" t="str">
        <f>SUM(D18:D23)</f>
        <v>1,500.00 €</v>
      </c>
      <c r="E24" s="18"/>
      <c r="F24" s="18"/>
      <c r="G24" s="66" t="s">
        <v>33</v>
      </c>
      <c r="H24" s="67"/>
      <c r="I24" s="25"/>
      <c r="J24" s="20"/>
      <c r="K24" s="60" t="str">
        <f>IFERROR(__xludf.DUMMYFUNCTION("IF($H$24&gt;K25,+$H$24-K25+1,0)"),0.0)</f>
        <v>0</v>
      </c>
      <c r="L24" s="60" t="str">
        <f>IFERROR(__xludf.DUMMYFUNCTION("IF($H$24&gt;L25,+$H$24-L25+1,0)"),0.0)</f>
        <v>0</v>
      </c>
      <c r="M24" s="60" t="str">
        <f>IFERROR(__xludf.DUMMYFUNCTION("IF($H$24&gt;M25,+$H$24-M25+1,0)"),0.0)</f>
        <v>0</v>
      </c>
      <c r="N24" s="60" t="str">
        <f>IFERROR(__xludf.DUMMYFUNCTION("IF($H$24&gt;N25,+$H$24-N25+1,0)"),0.0)</f>
        <v>0</v>
      </c>
      <c r="O24" s="18"/>
      <c r="P24" s="18"/>
      <c r="Q24" s="18"/>
      <c r="R24" s="18"/>
      <c r="S24" s="18"/>
      <c r="T24" s="18"/>
    </row>
    <row r="25" ht="16.5" customHeight="1">
      <c r="A25" s="18"/>
      <c r="B25" s="70" t="s">
        <v>34</v>
      </c>
      <c r="C25" s="4"/>
      <c r="D25" s="5"/>
      <c r="E25" s="71"/>
      <c r="F25" s="18"/>
      <c r="G25" s="66" t="s">
        <v>31</v>
      </c>
      <c r="H25" s="67"/>
      <c r="I25" s="25"/>
      <c r="J25" s="20"/>
      <c r="K25" s="72" t="str">
        <f>IF(H23&gt;$E$14,H23,$E$14)</f>
        <v>1 de July de 2022</v>
      </c>
      <c r="L25" s="72" t="str">
        <f>IF(H23&gt;$G$14,H23,$G$14)</f>
        <v>1 de January de 2023</v>
      </c>
      <c r="M25" s="72" t="str">
        <f>IF(H23&gt;$E$16,H23,$E$16)</f>
        <v/>
      </c>
      <c r="N25" s="72" t="str">
        <f>IF(H23&gt;$G$16,H23,$G$16)</f>
        <v/>
      </c>
      <c r="O25" s="18"/>
      <c r="P25" s="18"/>
      <c r="Q25" s="18"/>
      <c r="R25" s="18"/>
      <c r="S25" s="18"/>
      <c r="T25" s="18"/>
    </row>
    <row r="26" ht="15.75" customHeight="1">
      <c r="A26" s="18"/>
      <c r="B26" s="73"/>
      <c r="C26" s="5"/>
      <c r="D26" s="74">
        <v>0.0</v>
      </c>
      <c r="E26" s="18"/>
      <c r="F26" s="18"/>
      <c r="G26" s="66" t="s">
        <v>33</v>
      </c>
      <c r="H26" s="67"/>
      <c r="I26" s="25"/>
      <c r="J26" s="20"/>
      <c r="K26" s="60" t="str">
        <f>IFERROR(__xludf.DUMMYFUNCTION("IF($H$26&gt;K27,+$H$26-K27+1,0)"),0.0)</f>
        <v>0</v>
      </c>
      <c r="L26" s="60" t="str">
        <f>IFERROR(__xludf.DUMMYFUNCTION("IF($H$26&gt;L27,+$H$26-L27+1,0)"),0.0)</f>
        <v>0</v>
      </c>
      <c r="M26" s="60" t="str">
        <f>IFERROR(__xludf.DUMMYFUNCTION("IF($H$26&gt;M27,+$H$26-M27+1,0)"),0.0)</f>
        <v>0</v>
      </c>
      <c r="N26" s="60" t="str">
        <f>IFERROR(__xludf.DUMMYFUNCTION("IF($H$26&gt;N27,+$H$26-N27+1,0)"),0.0)</f>
        <v>0</v>
      </c>
      <c r="O26" s="18"/>
      <c r="P26" s="18"/>
      <c r="Q26" s="18"/>
      <c r="R26" s="18"/>
      <c r="S26" s="18"/>
      <c r="T26" s="18"/>
    </row>
    <row r="27" ht="15.75" customHeight="1">
      <c r="A27" s="18"/>
      <c r="B27" s="73"/>
      <c r="C27" s="5"/>
      <c r="D27" s="74">
        <v>0.0</v>
      </c>
      <c r="E27" s="18"/>
      <c r="F27" s="18"/>
      <c r="G27" s="66" t="s">
        <v>31</v>
      </c>
      <c r="H27" s="67"/>
      <c r="I27" s="25"/>
      <c r="J27" s="20"/>
      <c r="K27" s="72" t="str">
        <f>IF(H25&gt;$E$14,H25,$E$14)</f>
        <v>1 de July de 2022</v>
      </c>
      <c r="L27" s="72" t="str">
        <f>IF(H25&gt;$G$14,H25,$G$14)</f>
        <v>1 de January de 2023</v>
      </c>
      <c r="M27" s="72" t="str">
        <f>IF(H25&gt;$E$16,H25,$E$16)</f>
        <v/>
      </c>
      <c r="N27" s="72" t="str">
        <f>IF(H25&gt;$G$16,H25,$G$16)</f>
        <v/>
      </c>
      <c r="O27" s="18"/>
      <c r="P27" s="18"/>
      <c r="Q27" s="18"/>
      <c r="R27" s="18"/>
      <c r="S27" s="18"/>
      <c r="T27" s="18"/>
    </row>
    <row r="28" ht="15.75" customHeight="1">
      <c r="A28" s="18"/>
      <c r="B28" s="18"/>
      <c r="C28" s="75" t="s">
        <v>35</v>
      </c>
      <c r="D28" s="50" t="s">
        <v>26</v>
      </c>
      <c r="E28" s="76"/>
      <c r="F28" s="18"/>
      <c r="G28" s="66" t="s">
        <v>33</v>
      </c>
      <c r="H28" s="67"/>
      <c r="I28" s="25"/>
      <c r="J28" s="20"/>
      <c r="K28" s="60" t="str">
        <f>IFERROR(__xludf.DUMMYFUNCTION("IF($H$28&gt;K29,+$H$28-K29+1,0)"),0.0)</f>
        <v>0</v>
      </c>
      <c r="L28" s="60" t="str">
        <f>IFERROR(__xludf.DUMMYFUNCTION("IF($H$28&gt;L29,+$H$28-L29+1,0)"),0.0)</f>
        <v>0</v>
      </c>
      <c r="M28" s="60" t="str">
        <f>IFERROR(__xludf.DUMMYFUNCTION("IF($H$28&gt;M29,+$H$28-M29+1,0)"),0.0)</f>
        <v>0</v>
      </c>
      <c r="N28" s="60" t="str">
        <f>IFERROR(__xludf.DUMMYFUNCTION("IF($H$28&gt;N29,+$H$28-N29+1,0)"),0.0)</f>
        <v>0</v>
      </c>
      <c r="O28" s="18"/>
      <c r="P28" s="18"/>
      <c r="Q28" s="18"/>
      <c r="R28" s="18"/>
      <c r="S28" s="18"/>
      <c r="T28" s="18"/>
    </row>
    <row r="29" ht="15.75" customHeight="1">
      <c r="A29" s="18"/>
      <c r="B29" s="62"/>
      <c r="C29" s="77"/>
      <c r="D29" s="78">
        <v>15.0</v>
      </c>
      <c r="E29" s="79"/>
      <c r="F29" s="80" t="str">
        <f>IFERROR(__xludf.DUMMYFUNCTION("+($D$24+$D$26+$D$27)/30*D29"),750.0)</f>
        <v>750.00 €</v>
      </c>
      <c r="G29" s="66" t="s">
        <v>31</v>
      </c>
      <c r="H29" s="67"/>
      <c r="I29" s="25"/>
      <c r="J29" s="20"/>
      <c r="K29" s="72" t="str">
        <f>IF(H27&gt;$E$14,H27,$E$14)</f>
        <v>1 de July de 2022</v>
      </c>
      <c r="L29" s="72" t="str">
        <f>IF(H27&gt;$G$14,H27,$G$14)</f>
        <v>1 de January de 2023</v>
      </c>
      <c r="M29" s="72" t="str">
        <f>IF(H27&gt;$E$16,H27,$E$16)</f>
        <v/>
      </c>
      <c r="N29" s="72" t="str">
        <f>IF(H27&gt;$G$16,H27,$G$16)</f>
        <v/>
      </c>
      <c r="O29" s="18"/>
      <c r="P29" s="18"/>
      <c r="Q29" s="18"/>
      <c r="R29" s="18"/>
      <c r="S29" s="18"/>
      <c r="T29" s="18"/>
    </row>
    <row r="30" ht="15.75" customHeight="1">
      <c r="A30" s="18"/>
      <c r="B30" s="81"/>
      <c r="D30" s="82"/>
      <c r="F30" s="80" t="str">
        <f>IFERROR(__xludf.DUMMYFUNCTION("+($D$24+$D$26+$D$27)/30*D30"),0.0)</f>
        <v>0.00 €</v>
      </c>
      <c r="G30" s="66" t="s">
        <v>33</v>
      </c>
      <c r="H30" s="67"/>
      <c r="I30" s="25"/>
      <c r="J30" s="20"/>
      <c r="K30" s="60" t="str">
        <f>IFERROR(__xludf.DUMMYFUNCTION("IF($H$30&gt;K31,+$H$30-K31+1,0)"),0.0)</f>
        <v>0</v>
      </c>
      <c r="L30" s="60" t="str">
        <f>IFERROR(__xludf.DUMMYFUNCTION("IF($H$30&gt;L31,+$H$30-L31+1,0)"),0.0)</f>
        <v>0</v>
      </c>
      <c r="M30" s="60" t="str">
        <f>IFERROR(__xludf.DUMMYFUNCTION("IF($H$30&gt;M31,+$H$30-M31+1,0)"),0.0)</f>
        <v>0</v>
      </c>
      <c r="N30" s="60" t="str">
        <f>IFERROR(__xludf.DUMMYFUNCTION("IF($H$30&gt;N31,+$H$30-N31+1,0)"),0.0)</f>
        <v>0</v>
      </c>
      <c r="O30" s="18"/>
      <c r="P30" s="18"/>
      <c r="Q30" s="18"/>
      <c r="R30" s="18"/>
      <c r="S30" s="18"/>
      <c r="T30" s="18"/>
    </row>
    <row r="31" ht="15.75" customHeight="1">
      <c r="A31" s="18"/>
      <c r="B31" s="83"/>
      <c r="C31" s="5"/>
      <c r="D31" s="81" t="s">
        <v>36</v>
      </c>
      <c r="E31" s="81" t="s">
        <v>37</v>
      </c>
      <c r="F31" s="84"/>
      <c r="G31" s="18"/>
      <c r="H31" s="18"/>
      <c r="I31" s="18"/>
      <c r="J31" s="20"/>
      <c r="K31" s="72" t="str">
        <f>IF(H29&gt;$E$14,H29,$E$14)</f>
        <v>1 de July de 2022</v>
      </c>
      <c r="L31" s="72" t="str">
        <f>IF(H29&gt;$G$14,H29,$G$14)</f>
        <v>1 de January de 2023</v>
      </c>
      <c r="M31" s="72" t="str">
        <f>IF(H29&gt;$E$16,H29,$E$16)</f>
        <v/>
      </c>
      <c r="N31" s="72" t="str">
        <f>IF(H29&gt;$G$16,H29,$G$16)</f>
        <v/>
      </c>
      <c r="O31" s="18"/>
      <c r="P31" s="18"/>
      <c r="Q31" s="18"/>
      <c r="R31" s="18"/>
      <c r="S31" s="18"/>
      <c r="T31" s="18"/>
    </row>
    <row r="32" ht="15.75" customHeight="1">
      <c r="A32" s="18"/>
      <c r="B32" s="85"/>
      <c r="C32" s="86" t="s">
        <v>38</v>
      </c>
      <c r="D32" s="87">
        <v>0.0</v>
      </c>
      <c r="E32" s="57">
        <v>0.0</v>
      </c>
      <c r="F32" s="80" t="str">
        <f>IFERROR(__xludf.DUMMYFUNCTION("+E32*D32"),0.0)</f>
        <v>0.00 €</v>
      </c>
      <c r="G32" s="88" t="s">
        <v>39</v>
      </c>
      <c r="H32" s="4"/>
      <c r="I32" s="5"/>
      <c r="J32" s="20"/>
      <c r="K32" s="18" t="str">
        <f t="shared" ref="K32:N32" si="1">IF($H$24&gt;1,K24,0)+IF($H$26&gt;1,K26,0)+IF($H$28&gt;1,K28,0)+IF($H$30&gt;1,K30,0)</f>
        <v>0</v>
      </c>
      <c r="L32" s="18" t="str">
        <f t="shared" si="1"/>
        <v>0</v>
      </c>
      <c r="M32" s="18" t="str">
        <f t="shared" si="1"/>
        <v>0</v>
      </c>
      <c r="N32" s="18" t="str">
        <f t="shared" si="1"/>
        <v>0</v>
      </c>
      <c r="O32" s="18"/>
      <c r="P32" s="18"/>
      <c r="Q32" s="18"/>
      <c r="R32" s="18"/>
      <c r="S32" s="18"/>
      <c r="T32" s="18"/>
    </row>
    <row r="33" ht="15.75" customHeight="1">
      <c r="A33" s="18"/>
      <c r="B33" s="18"/>
      <c r="C33" s="86" t="s">
        <v>40</v>
      </c>
      <c r="D33" s="87">
        <v>0.0</v>
      </c>
      <c r="E33" s="57">
        <v>0.0</v>
      </c>
      <c r="F33" s="80" t="str">
        <f>IFERROR(__xludf.DUMMYFUNCTION("+E33*D33"),0.0)</f>
        <v>0.00 €</v>
      </c>
      <c r="G33" s="73"/>
      <c r="H33" s="5"/>
      <c r="I33" s="57">
        <v>0.0</v>
      </c>
      <c r="J33" s="20"/>
      <c r="K33" s="18" t="str">
        <f>IF(F13&gt;0,K32,0)</f>
        <v>0</v>
      </c>
      <c r="L33" s="18" t="str">
        <f>IF(H13&gt;0,L32,0)</f>
        <v>0</v>
      </c>
      <c r="M33" s="18" t="str">
        <f>IF(F15&gt;0,M32,0)</f>
        <v>0</v>
      </c>
      <c r="N33" s="18" t="str">
        <f>IF(H15&gt;0,N32,0)</f>
        <v>0</v>
      </c>
      <c r="O33" s="18"/>
      <c r="P33" s="18"/>
      <c r="Q33" s="18"/>
      <c r="R33" s="18"/>
      <c r="S33" s="18"/>
      <c r="T33" s="18"/>
    </row>
    <row r="34" ht="15.75" customHeight="1">
      <c r="A34" s="18"/>
      <c r="B34" s="89"/>
      <c r="C34" s="90"/>
      <c r="D34" s="87">
        <v>2.0</v>
      </c>
      <c r="E34" s="91">
        <v>18.75</v>
      </c>
      <c r="F34" s="80" t="str">
        <f>IFERROR(__xludf.DUMMYFUNCTION("+E34*D34"),37.5)</f>
        <v>37.50 €</v>
      </c>
      <c r="G34" s="73"/>
      <c r="H34" s="5"/>
      <c r="I34" s="57">
        <v>0.0</v>
      </c>
      <c r="J34" s="20"/>
      <c r="K34" s="18"/>
      <c r="L34" s="18"/>
      <c r="M34" s="18"/>
      <c r="N34" s="18"/>
      <c r="O34" s="18"/>
      <c r="P34" s="18"/>
      <c r="Q34" s="18"/>
      <c r="R34" s="18"/>
      <c r="S34" s="18"/>
      <c r="T34" s="18"/>
    </row>
    <row r="35" ht="15.75" customHeight="1">
      <c r="A35" s="18"/>
      <c r="B35" s="89"/>
      <c r="C35" s="90"/>
      <c r="D35" s="87">
        <v>0.0</v>
      </c>
      <c r="E35" s="57">
        <v>0.0</v>
      </c>
      <c r="F35" s="80" t="str">
        <f>IFERROR(__xludf.DUMMYFUNCTION("+E35*D35"),0.0)</f>
        <v>0.00 €</v>
      </c>
      <c r="G35" s="88" t="s">
        <v>41</v>
      </c>
      <c r="H35" s="4"/>
      <c r="I35" s="5"/>
      <c r="J35" s="20"/>
      <c r="K35" s="18"/>
      <c r="L35" s="18"/>
      <c r="M35" s="18"/>
      <c r="N35" s="18"/>
      <c r="O35" s="18"/>
      <c r="P35" s="18"/>
      <c r="Q35" s="18"/>
      <c r="R35" s="18"/>
      <c r="S35" s="18"/>
      <c r="T35" s="18"/>
    </row>
    <row r="36" ht="15.75" customHeight="1">
      <c r="A36" s="18"/>
      <c r="B36" s="89"/>
      <c r="C36" s="90"/>
      <c r="D36" s="87">
        <v>0.0</v>
      </c>
      <c r="E36" s="57">
        <v>0.0</v>
      </c>
      <c r="F36" s="80" t="str">
        <f>IFERROR(__xludf.DUMMYFUNCTION("+E36*D36"),0.0)</f>
        <v>0.00 €</v>
      </c>
      <c r="G36" s="92"/>
      <c r="H36" s="92"/>
      <c r="I36" s="57">
        <v>0.0</v>
      </c>
      <c r="J36" s="20"/>
      <c r="K36" s="18"/>
      <c r="L36" s="18"/>
      <c r="M36" s="18"/>
      <c r="N36" s="18"/>
      <c r="O36" s="18"/>
      <c r="P36" s="18"/>
      <c r="Q36" s="18"/>
      <c r="R36" s="18"/>
      <c r="S36" s="18"/>
      <c r="T36" s="18"/>
    </row>
    <row r="37" ht="15.75" customHeight="1">
      <c r="A37" s="18"/>
      <c r="B37" s="89"/>
      <c r="C37" s="90"/>
      <c r="D37" s="87">
        <v>0.0</v>
      </c>
      <c r="E37" s="57">
        <v>0.0</v>
      </c>
      <c r="F37" s="80" t="str">
        <f>IFERROR(__xludf.DUMMYFUNCTION("+E37*D37"),0.0)</f>
        <v>0.00 €</v>
      </c>
      <c r="G37" s="93"/>
      <c r="H37" s="65"/>
      <c r="I37" s="57">
        <v>0.0</v>
      </c>
      <c r="J37" s="20"/>
      <c r="K37" s="18"/>
      <c r="L37" s="18"/>
      <c r="M37" s="18"/>
      <c r="N37" s="18"/>
      <c r="O37" s="18"/>
      <c r="P37" s="18"/>
      <c r="Q37" s="18"/>
      <c r="R37" s="18"/>
      <c r="S37" s="18"/>
      <c r="T37" s="18"/>
    </row>
    <row r="38" ht="15.75" customHeight="1">
      <c r="A38" s="18"/>
      <c r="B38" s="89"/>
      <c r="C38" s="90"/>
      <c r="D38" s="87">
        <v>0.0</v>
      </c>
      <c r="E38" s="57">
        <v>0.0</v>
      </c>
      <c r="F38" s="80" t="str">
        <f>IFERROR(__xludf.DUMMYFUNCTION("+E38*D38"),0.0)</f>
        <v>0.00 €</v>
      </c>
      <c r="G38" s="30"/>
      <c r="H38" s="30"/>
      <c r="I38" s="30"/>
      <c r="J38" s="20"/>
      <c r="K38" s="18"/>
      <c r="L38" s="18" t="s">
        <v>42</v>
      </c>
      <c r="M38" s="18"/>
      <c r="N38" s="18"/>
      <c r="O38" s="18"/>
      <c r="P38" s="18"/>
      <c r="Q38" s="18"/>
      <c r="R38" s="18"/>
      <c r="S38" s="18"/>
      <c r="T38" s="18"/>
    </row>
    <row r="39" ht="15.75" customHeight="1">
      <c r="A39" s="18"/>
      <c r="B39" s="18"/>
      <c r="C39" s="86" t="s">
        <v>43</v>
      </c>
      <c r="D39" s="87">
        <v>0.0</v>
      </c>
      <c r="E39" s="57">
        <v>0.0</v>
      </c>
      <c r="F39" s="80" t="str">
        <f>IFERROR(__xludf.DUMMYFUNCTION("+E39*D39"),0.0)</f>
        <v>0.00 €</v>
      </c>
      <c r="G39" s="30"/>
      <c r="H39" s="30"/>
      <c r="I39" s="30"/>
      <c r="J39" s="20"/>
      <c r="K39" s="27" t="str">
        <f>IFERROR(__xludf.DUMMYFUNCTION("+F51"),0.0)</f>
        <v>0.00 €</v>
      </c>
      <c r="L39" s="18" t="str">
        <f>AND(D51&gt;45)</f>
        <v>FALSE</v>
      </c>
      <c r="M39" s="94" t="str">
        <f>IF(L39=TRUE,(I9/365)*45,(I9/365)*D51)</f>
        <v>0</v>
      </c>
      <c r="N39" s="95" t="str">
        <f>IF(M39&gt;1277.5,1277.5,M39)</f>
        <v>0.0</v>
      </c>
      <c r="O39" s="18"/>
      <c r="P39" s="18"/>
      <c r="Q39" s="18"/>
      <c r="R39" s="18"/>
      <c r="S39" s="18"/>
      <c r="T39" s="18"/>
    </row>
    <row r="40" ht="15.75" customHeight="1">
      <c r="A40" s="18"/>
      <c r="B40" s="18"/>
      <c r="C40" s="86" t="s">
        <v>44</v>
      </c>
      <c r="D40" s="87" t="str">
        <f>IF(E40&gt;0,F40/E40,0)</f>
        <v>0</v>
      </c>
      <c r="E40" s="91" t="str">
        <f>IFERROR(__xludf.DUMMYFUNCTION("+G55"),125.00000000000001)</f>
        <v>125.00 €</v>
      </c>
      <c r="F40" s="80" t="str">
        <f>IFERROR(__xludf.DUMMYFUNCTION("+N68"),0.0)</f>
        <v>0.00 €</v>
      </c>
      <c r="G40" s="88" t="s">
        <v>45</v>
      </c>
      <c r="H40" s="4"/>
      <c r="I40" s="5"/>
      <c r="J40" s="20"/>
      <c r="K40" s="27"/>
      <c r="L40" s="18"/>
      <c r="M40" s="94"/>
      <c r="N40" s="95"/>
      <c r="O40" s="18"/>
      <c r="P40" s="18"/>
      <c r="Q40" s="18"/>
      <c r="R40" s="18"/>
      <c r="S40" s="18"/>
      <c r="T40" s="18"/>
    </row>
    <row r="41" ht="14.25" customHeight="1">
      <c r="A41" s="18"/>
      <c r="B41" s="83"/>
      <c r="C41" s="5"/>
      <c r="D41" s="18"/>
      <c r="E41" s="18"/>
      <c r="F41" s="84"/>
      <c r="G41" s="96" t="s">
        <v>46</v>
      </c>
      <c r="J41" s="20"/>
      <c r="K41" s="27" t="str">
        <f>IFERROR(__xludf.DUMMYFUNCTION("+K39-K42"),0.0)</f>
        <v>0.00 €</v>
      </c>
      <c r="L41" s="97" t="str">
        <f>IF(E51&gt;1277.5,1277.5,E51)</f>
        <v>0.00</v>
      </c>
      <c r="M41" s="60" t="str">
        <f>AND(D51&gt;45,E51&gt;1277.5)</f>
        <v>FALSE</v>
      </c>
      <c r="N41" s="27" t="str">
        <f>IFERROR(__xludf.DUMMYFUNCTION("+L14"),0.0)</f>
        <v>0.00 €</v>
      </c>
      <c r="O41" s="18"/>
      <c r="P41" s="18"/>
      <c r="Q41" s="18"/>
      <c r="R41" s="18"/>
      <c r="S41" s="18"/>
      <c r="T41" s="18"/>
    </row>
    <row r="42" ht="15.75" customHeight="1">
      <c r="A42" s="18"/>
      <c r="B42" s="98"/>
      <c r="C42" s="66" t="s">
        <v>47</v>
      </c>
      <c r="D42" s="52" t="str">
        <f>IFERROR(__xludf.DUMMYFUNCTION("IF(E11&gt;1,+F13-K33,M20)"),335.0)</f>
        <v>335.00 €</v>
      </c>
      <c r="E42" s="52" t="str">
        <f>IFERROR(__xludf.DUMMYFUNCTION("+M60/365"),4.109589041095891)</f>
        <v>4.11 €</v>
      </c>
      <c r="F42" s="80" t="str">
        <f t="shared" ref="F42:F45" si="2">IF(G42=1,K44,0)</f>
        <v>1,376.71 €</v>
      </c>
      <c r="G42" s="99">
        <v>1.0</v>
      </c>
      <c r="H42" s="18"/>
      <c r="I42" s="18"/>
      <c r="J42" s="20"/>
      <c r="K42" s="27" t="str">
        <f>IFERROR(__xludf.DUMMYFUNCTION("+($D$24/30*N39)+(((($D$26+$D$27)*12)/365)*N39)"),0.0)</f>
        <v>0.00 €</v>
      </c>
      <c r="L42" s="60" t="str">
        <f>IFERROR(__xludf.DUMMYFUNCTION("+(I9/365)*45"),90.12328767123289)</f>
        <v>90</v>
      </c>
      <c r="M42" s="18" t="str">
        <f>AND(D51&lt;46,E51&gt;1277.5)</f>
        <v>FALSE</v>
      </c>
      <c r="N42" s="18" t="s">
        <v>48</v>
      </c>
      <c r="O42" s="18"/>
      <c r="P42" s="18"/>
      <c r="Q42" s="18"/>
      <c r="R42" s="18"/>
      <c r="S42" s="18"/>
      <c r="T42" s="18"/>
    </row>
    <row r="43" ht="15.75" customHeight="1">
      <c r="A43" s="18"/>
      <c r="B43" s="18"/>
      <c r="C43" s="100" t="s">
        <v>49</v>
      </c>
      <c r="D43" s="52" t="str">
        <f>IFERROR(__xludf.DUMMYFUNCTION("+IF($E$11&gt;1,H13,0)-L33"),151.0)</f>
        <v>151.00 €</v>
      </c>
      <c r="E43" s="52" t="str">
        <f>IFERROR(__xludf.DUMMYFUNCTION("+M61/365"),4.109589041095891)</f>
        <v>4.11 €</v>
      </c>
      <c r="F43" s="80" t="str">
        <f t="shared" si="2"/>
        <v>620.55 €</v>
      </c>
      <c r="G43" s="99">
        <v>1.0</v>
      </c>
      <c r="H43" s="18"/>
      <c r="I43" s="18"/>
      <c r="J43" s="20"/>
      <c r="K43" s="18"/>
      <c r="L43" s="18" t="str">
        <f>AND(E51&gt;1277.5)</f>
        <v>FALSE</v>
      </c>
      <c r="M43" s="18" t="str">
        <f>AND(D51&gt;45,E51&lt;1277.6)</f>
        <v>FALSE</v>
      </c>
      <c r="N43" s="18" t="s">
        <v>50</v>
      </c>
      <c r="O43" s="18"/>
      <c r="P43" s="18"/>
      <c r="Q43" s="18"/>
      <c r="R43" s="18"/>
      <c r="S43" s="18"/>
      <c r="T43" s="18"/>
    </row>
    <row r="44" ht="15.75" customHeight="1">
      <c r="A44" s="18"/>
      <c r="B44" s="18"/>
      <c r="C44" s="100" t="s">
        <v>51</v>
      </c>
      <c r="D44" s="52" t="str">
        <f>IFERROR(__xludf.DUMMYFUNCTION("+IF($E$11&gt;2,F15,0)-M33"),0.0)</f>
        <v>0.00 €</v>
      </c>
      <c r="E44" s="52" t="str">
        <f>IFERROR(__xludf.DUMMYFUNCTION("+M62/365"),0.0)</f>
        <v>0.00 €</v>
      </c>
      <c r="F44" s="80" t="str">
        <f t="shared" si="2"/>
        <v>0.00 €</v>
      </c>
      <c r="G44" s="99">
        <v>1.0</v>
      </c>
      <c r="H44" s="18"/>
      <c r="I44" s="18"/>
      <c r="J44" s="20"/>
      <c r="K44" s="27" t="str">
        <f>IFERROR(__xludf.DUMMYFUNCTION("+D42*E42"),1376.7123287671234)</f>
        <v>1,376.71 €</v>
      </c>
      <c r="L44" s="18"/>
      <c r="M44" s="18" t="str">
        <f>AND(D51&lt;46,E51&lt;1277.6)</f>
        <v>TRUE</v>
      </c>
      <c r="N44" s="18" t="s">
        <v>52</v>
      </c>
      <c r="O44" s="18"/>
      <c r="P44" s="18"/>
      <c r="Q44" s="18"/>
      <c r="R44" s="18"/>
      <c r="S44" s="18"/>
      <c r="T44" s="18"/>
    </row>
    <row r="45" ht="15.75" customHeight="1">
      <c r="A45" s="18"/>
      <c r="B45" s="18"/>
      <c r="C45" s="100" t="s">
        <v>53</v>
      </c>
      <c r="D45" s="52" t="str">
        <f>IF(E11&gt;3,H15,0)-N33</f>
        <v>0.00 €</v>
      </c>
      <c r="E45" s="52" t="str">
        <f>IFERROR(__xludf.DUMMYFUNCTION("+M63/365"),0.0)</f>
        <v>0.00 €</v>
      </c>
      <c r="F45" s="80" t="str">
        <f t="shared" si="2"/>
        <v>0.00 €</v>
      </c>
      <c r="G45" s="99">
        <v>1.0</v>
      </c>
      <c r="H45" s="18"/>
      <c r="I45" s="18"/>
      <c r="J45" s="20"/>
      <c r="K45" s="27" t="str">
        <f>IF(E11&gt;1,D43*E43,0)</f>
        <v>620.55 €</v>
      </c>
      <c r="L45" s="18"/>
      <c r="M45" s="18"/>
      <c r="N45" s="18"/>
      <c r="O45" s="18"/>
      <c r="P45" s="18"/>
      <c r="Q45" s="18"/>
      <c r="R45" s="18"/>
      <c r="S45" s="18"/>
      <c r="T45" s="18"/>
    </row>
    <row r="46" ht="15.75" customHeight="1">
      <c r="A46" s="18"/>
      <c r="B46" s="18"/>
      <c r="C46" s="18"/>
      <c r="D46" s="18"/>
      <c r="E46" s="18"/>
      <c r="F46" s="84"/>
      <c r="G46" s="18"/>
      <c r="H46" s="18"/>
      <c r="I46" s="18"/>
      <c r="J46" s="20"/>
      <c r="K46" s="27" t="str">
        <f>IF(E11&gt;2,D44*E44,0)</f>
        <v>0.00 €</v>
      </c>
      <c r="L46" s="18" t="s">
        <v>54</v>
      </c>
      <c r="M46" s="18"/>
      <c r="N46" s="18"/>
      <c r="O46" s="18"/>
      <c r="P46" s="18"/>
      <c r="Q46" s="18"/>
      <c r="R46" s="18"/>
      <c r="S46" s="18"/>
      <c r="T46" s="18"/>
    </row>
    <row r="47" ht="15.75" customHeight="1">
      <c r="A47" s="18"/>
      <c r="B47" s="49" t="s">
        <v>55</v>
      </c>
      <c r="C47" s="5"/>
      <c r="D47" s="101" t="s">
        <v>56</v>
      </c>
      <c r="E47" s="101" t="s">
        <v>57</v>
      </c>
      <c r="F47" s="84"/>
      <c r="G47" s="18"/>
      <c r="H47" s="18"/>
      <c r="I47" s="18"/>
      <c r="J47" s="20"/>
      <c r="K47" s="27" t="str">
        <f>IF(E11&gt;3,D45*E45,0)</f>
        <v>0.00 €</v>
      </c>
      <c r="L47" s="18"/>
      <c r="M47" s="102"/>
      <c r="N47" s="18"/>
      <c r="O47" s="18"/>
      <c r="P47" s="18"/>
      <c r="Q47" s="18"/>
      <c r="R47" s="18"/>
      <c r="S47" s="18"/>
      <c r="T47" s="18"/>
    </row>
    <row r="48" ht="15.75" customHeight="1">
      <c r="A48" s="18"/>
      <c r="B48" s="103" t="s">
        <v>58</v>
      </c>
      <c r="C48" s="25"/>
      <c r="D48" s="87">
        <v>20.0</v>
      </c>
      <c r="E48" s="104" t="str">
        <f>IFERROR(__xludf.DUMMYFUNCTION("+(I9/365)*D48"),40.054794520547944)</f>
        <v>40.05</v>
      </c>
      <c r="F48" s="80" t="str">
        <f>IFERROR(__xludf.DUMMYFUNCTION("+IF(E48&gt;(365*1),(K14*365),(K14*E48))"),2304.5224244698816)</f>
        <v>2,304.52 €</v>
      </c>
      <c r="G48" s="96" t="s">
        <v>59</v>
      </c>
      <c r="I48" s="18"/>
      <c r="J48" s="20"/>
      <c r="K48" s="18"/>
      <c r="L48" s="27"/>
      <c r="M48" s="27"/>
      <c r="N48" s="27"/>
      <c r="O48" s="18"/>
      <c r="P48" s="18"/>
      <c r="Q48" s="18"/>
      <c r="R48" s="18"/>
      <c r="S48" s="18"/>
      <c r="T48" s="18"/>
    </row>
    <row r="49" ht="15.75" customHeight="1">
      <c r="A49" s="18"/>
      <c r="B49" s="103" t="s">
        <v>60</v>
      </c>
      <c r="C49" s="25"/>
      <c r="D49" s="87">
        <v>33.0</v>
      </c>
      <c r="E49" s="104" t="str">
        <f>IFERROR(__xludf.DUMMYFUNCTION("+(I9/365)*D49"),66.09041095890412)</f>
        <v>66.09</v>
      </c>
      <c r="F49" s="80" t="str">
        <f>IFERROR(__xludf.DUMMYFUNCTION("+IF(E49&gt;(365*2),(K14*730),(K14*E49))"),3802.4620003753053)</f>
        <v>3,802.46 €</v>
      </c>
      <c r="G49" s="96" t="s">
        <v>61</v>
      </c>
      <c r="I49" s="18"/>
      <c r="J49" s="20"/>
      <c r="K49" s="18"/>
      <c r="L49" s="27"/>
      <c r="M49" s="27"/>
      <c r="N49" s="27"/>
      <c r="O49" s="18"/>
      <c r="P49" s="18"/>
      <c r="Q49" s="18"/>
      <c r="R49" s="18"/>
      <c r="S49" s="18"/>
      <c r="T49" s="18"/>
    </row>
    <row r="50" ht="15.75" customHeight="1">
      <c r="A50" s="18"/>
      <c r="B50" s="103" t="s">
        <v>62</v>
      </c>
      <c r="C50" s="25"/>
      <c r="D50" s="87">
        <v>0.0</v>
      </c>
      <c r="E50" s="104" t="str">
        <f>IFERROR(__xludf.DUMMYFUNCTION("+(I9/365)*D50"),0.0)</f>
        <v>0.00</v>
      </c>
      <c r="F50" s="80" t="str">
        <f>IFERROR(__xludf.DUMMYFUNCTION("+IF(E50&gt;(365*3.5),(K14*1277.5),(K14*E50))"),0.0)</f>
        <v>0.00 €</v>
      </c>
      <c r="G50" s="96" t="s">
        <v>63</v>
      </c>
      <c r="I50" s="18"/>
      <c r="J50" s="20"/>
      <c r="K50" s="18"/>
      <c r="L50" s="27"/>
      <c r="M50" s="27"/>
      <c r="N50" s="27"/>
      <c r="O50" s="18"/>
      <c r="P50" s="18"/>
      <c r="Q50" s="18"/>
      <c r="R50" s="18"/>
      <c r="S50" s="18"/>
      <c r="T50" s="18"/>
    </row>
    <row r="51" ht="15.75" customHeight="1">
      <c r="A51" s="18"/>
      <c r="B51" s="103" t="s">
        <v>64</v>
      </c>
      <c r="C51" s="25"/>
      <c r="D51" s="87">
        <v>0.0</v>
      </c>
      <c r="E51" s="104" t="str">
        <f>IFERROR(__xludf.DUMMYFUNCTION("+(I9/365)*D51"),0.0)</f>
        <v>0.00</v>
      </c>
      <c r="F51" s="80" t="str">
        <f>IFERROR(__xludf.DUMMYFUNCTION("+L14"),0.0)</f>
        <v>0.00 €</v>
      </c>
      <c r="G51" s="62"/>
      <c r="H51" s="62"/>
      <c r="I51" s="18"/>
      <c r="J51" s="20"/>
      <c r="K51" s="27"/>
      <c r="L51" s="27"/>
      <c r="M51" s="27"/>
      <c r="N51" s="27"/>
      <c r="O51" s="18"/>
      <c r="P51" s="18"/>
      <c r="Q51" s="18"/>
      <c r="R51" s="18"/>
      <c r="S51" s="18"/>
      <c r="T51" s="18"/>
    </row>
    <row r="52" ht="15.75" customHeight="1">
      <c r="A52" s="18"/>
      <c r="B52" s="103" t="s">
        <v>65</v>
      </c>
      <c r="C52" s="25"/>
      <c r="D52" s="57"/>
      <c r="E52" s="104">
        <v>0.0</v>
      </c>
      <c r="F52" s="80" t="str">
        <f>IFERROR(__xludf.DUMMYFUNCTION("+E52-L12"),0.0)</f>
        <v>0.00 €</v>
      </c>
      <c r="G52" s="62"/>
      <c r="H52" s="62"/>
      <c r="I52" s="18"/>
      <c r="J52" s="20"/>
      <c r="K52" s="27"/>
      <c r="L52" s="27"/>
      <c r="M52" s="27"/>
      <c r="N52" s="18"/>
      <c r="O52" s="18"/>
      <c r="P52" s="18"/>
      <c r="Q52" s="18"/>
      <c r="R52" s="18"/>
      <c r="S52" s="18"/>
      <c r="T52" s="18"/>
    </row>
    <row r="53" ht="22.5" customHeight="1">
      <c r="A53" s="18"/>
      <c r="B53" s="62"/>
      <c r="C53" s="62"/>
      <c r="D53" s="105" t="s">
        <v>66</v>
      </c>
      <c r="F53" s="106" t="str">
        <f>L17+F50+F49+F48+F52</f>
        <v>6,106.98 €</v>
      </c>
      <c r="G53" s="62"/>
      <c r="H53" s="62"/>
      <c r="I53" s="18"/>
      <c r="J53" s="20"/>
      <c r="K53" s="18"/>
      <c r="L53" s="27"/>
      <c r="M53" s="27"/>
      <c r="N53" s="18"/>
      <c r="O53" s="18"/>
      <c r="P53" s="18"/>
      <c r="Q53" s="18"/>
      <c r="R53" s="18"/>
      <c r="S53" s="18"/>
      <c r="T53" s="18"/>
    </row>
    <row r="54" ht="15.75" customHeight="1">
      <c r="A54" s="18"/>
      <c r="B54" s="62"/>
      <c r="C54" s="62"/>
      <c r="D54" s="62"/>
      <c r="E54" s="62"/>
      <c r="F54" s="62"/>
      <c r="G54" s="107" t="s">
        <v>44</v>
      </c>
      <c r="H54" s="62"/>
      <c r="I54" s="18"/>
      <c r="J54" s="20"/>
      <c r="K54" s="18"/>
      <c r="L54" s="18"/>
      <c r="M54" s="27"/>
      <c r="N54" s="18"/>
      <c r="O54" s="18"/>
      <c r="P54" s="18"/>
      <c r="Q54" s="18"/>
      <c r="R54" s="18"/>
      <c r="S54" s="18"/>
      <c r="T54" s="18"/>
    </row>
    <row r="55" ht="15.75" customHeight="1">
      <c r="A55" s="18"/>
      <c r="B55" s="108" t="s">
        <v>32</v>
      </c>
      <c r="F55" s="106" t="str">
        <f>SUM(F29,F32:F40)+F30</f>
        <v>787.50 €</v>
      </c>
      <c r="G55" s="109" t="str">
        <f>IFERROR(__xludf.DUMMYFUNCTION("+O58"),125.00000000000001)</f>
        <v>125.00 €</v>
      </c>
      <c r="H55" s="62"/>
      <c r="I55" s="27"/>
      <c r="J55" s="20"/>
      <c r="K55" s="18" t="str">
        <f>AND(E11&lt;3,E11&gt;0)</f>
        <v>TRUE</v>
      </c>
      <c r="L55" s="27" t="str">
        <f>IFERROR(__xludf.DUMMYFUNCTION("+((($F$18/30)*$D$29)*(7/6))-(($F$18/30)*$D$29)"),125.0)</f>
        <v>125.00 €</v>
      </c>
      <c r="M55" s="27" t="str">
        <f t="shared" ref="M55:M57" si="3">IF(K55=TRUE,L55,0)</f>
        <v>125.00 €</v>
      </c>
      <c r="N55" s="18"/>
      <c r="O55" s="18"/>
      <c r="P55" s="18"/>
      <c r="Q55" s="18"/>
      <c r="R55" s="18"/>
      <c r="S55" s="18"/>
      <c r="T55" s="18"/>
    </row>
    <row r="56" ht="15.75" customHeight="1">
      <c r="A56" s="18"/>
      <c r="B56" s="62"/>
      <c r="C56" s="108" t="s">
        <v>67</v>
      </c>
      <c r="E56" s="110">
        <v>0.047</v>
      </c>
      <c r="F56" s="111" t="str">
        <f>(SUM(F29,F32:F39)+F30)*E56+(($F$32+$F$33)*E56)+(O58*E56)</f>
        <v>42.89 €</v>
      </c>
      <c r="G56" s="62"/>
      <c r="H56" s="62"/>
      <c r="I56" s="18"/>
      <c r="J56" s="20"/>
      <c r="K56" s="18" t="str">
        <f>AND(E11&lt;4,E11&gt;2)</f>
        <v>FALSE</v>
      </c>
      <c r="L56" s="27" t="str">
        <f>IFERROR(__xludf.DUMMYFUNCTION("+((($F$18/30)*$D$29)*(7.5/6))-(($F$18/30)*$D$29)"),187.5)</f>
        <v>187.50 €</v>
      </c>
      <c r="M56" s="27" t="str">
        <f t="shared" si="3"/>
        <v>0.00 €</v>
      </c>
      <c r="N56" s="18"/>
      <c r="O56" s="18"/>
      <c r="P56" s="18"/>
      <c r="Q56" s="18"/>
      <c r="R56" s="18"/>
      <c r="S56" s="18"/>
      <c r="T56" s="18"/>
    </row>
    <row r="57" ht="15.75" customHeight="1">
      <c r="A57" s="18"/>
      <c r="B57" s="62"/>
      <c r="C57" s="108" t="s">
        <v>68</v>
      </c>
      <c r="E57" s="110">
        <v>0.0155</v>
      </c>
      <c r="F57" s="111" t="str">
        <f>(SUM(F29,F32:F39)+F30)*E57+(($F$32+$F$33)*E57)+(O58*E57)</f>
        <v>14.14 €</v>
      </c>
      <c r="G57" s="62"/>
      <c r="H57" s="112"/>
      <c r="I57" s="18"/>
      <c r="J57" s="20"/>
      <c r="K57" s="18" t="str">
        <f>AND(E11&lt;5,E11&gt;3)</f>
        <v>FALSE</v>
      </c>
      <c r="L57" s="27" t="str">
        <f>IFERROR(__xludf.DUMMYFUNCTION("+((($F$18/30)*$D$29)*(8/6))-(($F$18/30)*$D$29)"),250.0)</f>
        <v>250.00 €</v>
      </c>
      <c r="M57" s="27" t="str">
        <f t="shared" si="3"/>
        <v>0.00 €</v>
      </c>
      <c r="N57" s="18"/>
      <c r="O57" s="18" t="str">
        <f>IF(E11&lt;2,12,12)</f>
        <v>12</v>
      </c>
      <c r="P57" s="18"/>
      <c r="Q57" s="18"/>
      <c r="R57" s="18"/>
      <c r="S57" s="18"/>
      <c r="T57" s="18"/>
    </row>
    <row r="58" ht="15.75" customHeight="1">
      <c r="A58" s="18"/>
      <c r="B58" s="62"/>
      <c r="C58" s="108" t="s">
        <v>69</v>
      </c>
      <c r="E58" s="110">
        <v>0.001</v>
      </c>
      <c r="F58" s="111" t="str">
        <f>(SUM(F29,F32:F39)+F30)*E58+(($F$32+$F$33)*E58)+(O58*E58)</f>
        <v>0.91 €</v>
      </c>
      <c r="G58" s="62"/>
      <c r="H58" s="112"/>
      <c r="I58" s="18"/>
      <c r="J58" s="20"/>
      <c r="K58" s="18"/>
      <c r="L58" s="18"/>
      <c r="M58" s="27" t="str">
        <f>SUM(M55:M57)</f>
        <v>125.00 €</v>
      </c>
      <c r="N58" s="27" t="str">
        <f>SUM(M60:M63)</f>
        <v>3,000.00 €</v>
      </c>
      <c r="O58" s="18" t="str">
        <f>IFERROR(__xludf.DUMMYFUNCTION("+(N58/O57)/30*D29"),125.00000000000001)</f>
        <v>125</v>
      </c>
      <c r="P58" s="18"/>
      <c r="Q58" s="18"/>
      <c r="R58" s="18"/>
      <c r="S58" s="18"/>
      <c r="T58" s="18"/>
    </row>
    <row r="59" ht="15.75" customHeight="1">
      <c r="A59" s="18"/>
      <c r="B59" s="62"/>
      <c r="C59" s="108" t="s">
        <v>70</v>
      </c>
      <c r="E59" s="113">
        <v>0.15</v>
      </c>
      <c r="F59" s="111" t="str">
        <f>IFERROR(__xludf.DUMMYFUNCTION("+F55*E59+((I33+I34)*E59)"),118.125)</f>
        <v>118.13 €</v>
      </c>
      <c r="G59" s="62"/>
      <c r="H59" s="62"/>
      <c r="I59" s="18"/>
      <c r="J59" s="20"/>
      <c r="K59" s="18" t="str">
        <f>IF(D40&lt;0,0,G55*D40)</f>
        <v>0</v>
      </c>
      <c r="L59" s="18"/>
      <c r="M59" s="18"/>
      <c r="N59" s="18"/>
      <c r="O59" s="18"/>
      <c r="P59" s="18"/>
      <c r="Q59" s="18"/>
      <c r="R59" s="18"/>
      <c r="S59" s="18"/>
      <c r="T59" s="18"/>
    </row>
    <row r="60" ht="15.75" customHeight="1">
      <c r="A60" s="18"/>
      <c r="B60" s="18"/>
      <c r="C60" s="114" t="s">
        <v>71</v>
      </c>
      <c r="D60" s="62"/>
      <c r="E60" s="62"/>
      <c r="F60" s="106" t="str">
        <f>IFERROR(__xludf.DUMMYFUNCTION("+F55-F56-F57-F58-F59+I33+I34+I36+I37"),611.43125)</f>
        <v>611.43 €</v>
      </c>
      <c r="G60" s="62"/>
      <c r="H60" s="62"/>
      <c r="I60" s="18"/>
      <c r="J60" s="20"/>
      <c r="K60" s="18"/>
      <c r="L60" s="18" t="str">
        <f t="shared" ref="L60:L63" si="4">IF(M60&gt;0,1,0)</f>
        <v>1</v>
      </c>
      <c r="M60" s="27" t="str">
        <f>IFERROR(__xludf.DUMMYFUNCTION("+IF($E$11&lt;2,($D$24/30*$G$18)*2,$D$24/30*$G$18)"),1500.0)</f>
        <v>1,500.00 €</v>
      </c>
      <c r="N60" s="27" t="str">
        <f>IF(E11&lt;2,M60/2,M60)</f>
        <v>1,500.00 €</v>
      </c>
      <c r="O60" s="18"/>
      <c r="P60" s="18"/>
      <c r="Q60" s="18"/>
      <c r="R60" s="18"/>
      <c r="S60" s="18"/>
      <c r="T60" s="18"/>
    </row>
    <row r="61" ht="15.75" customHeight="1">
      <c r="A61" s="18"/>
      <c r="B61" s="115" t="s">
        <v>72</v>
      </c>
      <c r="E61" s="62"/>
      <c r="F61" s="116" t="str">
        <f>SUM(F42:F45)</f>
        <v>1,997.26 €</v>
      </c>
      <c r="G61" s="62"/>
      <c r="H61" s="62"/>
      <c r="I61" s="18"/>
      <c r="J61" s="20"/>
      <c r="K61" s="18"/>
      <c r="L61" s="18" t="str">
        <f t="shared" si="4"/>
        <v>1</v>
      </c>
      <c r="M61" s="27" t="str">
        <f>IFERROR(__xludf.DUMMYFUNCTION("+IF($E$11&gt;1,$D$24/30*$G$19,0)"),1500.0)</f>
        <v>1,500.00 €</v>
      </c>
      <c r="N61" s="18"/>
      <c r="O61" s="18"/>
      <c r="P61" s="18"/>
      <c r="Q61" s="18"/>
      <c r="R61" s="18"/>
      <c r="S61" s="18"/>
      <c r="T61" s="18"/>
    </row>
    <row r="62" ht="15.75" customHeight="1">
      <c r="A62" s="18"/>
      <c r="B62" s="115" t="s">
        <v>70</v>
      </c>
      <c r="E62" s="117" t="str">
        <f>IFERROR(__xludf.DUMMYFUNCTION("+E59"),0.15)</f>
        <v>15%</v>
      </c>
      <c r="F62" s="111" t="str">
        <f>IFERROR(__xludf.DUMMYFUNCTION("+F61*E62"),299.5890410958904)</f>
        <v>299.59 €</v>
      </c>
      <c r="G62" s="62"/>
      <c r="H62" s="62"/>
      <c r="I62" s="18"/>
      <c r="J62" s="20"/>
      <c r="K62" s="18"/>
      <c r="L62" s="18" t="str">
        <f t="shared" si="4"/>
        <v>0</v>
      </c>
      <c r="M62" s="27" t="str">
        <f>IFERROR(__xludf.DUMMYFUNCTION("+IF($E$11&gt;2,$D$24/30*$G$20,0)"),0.0)</f>
        <v>0.00 €</v>
      </c>
      <c r="N62" s="18"/>
      <c r="O62" s="18"/>
      <c r="P62" s="18"/>
      <c r="Q62" s="18"/>
      <c r="R62" s="18"/>
      <c r="S62" s="18"/>
      <c r="T62" s="18"/>
    </row>
    <row r="63" ht="15.75" customHeight="1">
      <c r="A63" s="18"/>
      <c r="B63" s="18"/>
      <c r="C63" s="114" t="s">
        <v>73</v>
      </c>
      <c r="D63" s="62"/>
      <c r="E63" s="62"/>
      <c r="F63" s="106" t="str">
        <f>IFERROR(__xludf.DUMMYFUNCTION("+F61-F62"),1697.6712328767126)</f>
        <v>1,697.67 €</v>
      </c>
      <c r="G63" s="62"/>
      <c r="H63" s="62"/>
      <c r="I63" s="18"/>
      <c r="J63" s="20"/>
      <c r="K63" s="18"/>
      <c r="L63" s="18" t="str">
        <f t="shared" si="4"/>
        <v>0</v>
      </c>
      <c r="M63" s="27" t="str">
        <f>IF($E$11&gt;3,$D$24/30*$G$21,0)</f>
        <v>0.00 €</v>
      </c>
      <c r="N63" s="18"/>
      <c r="O63" s="18"/>
      <c r="P63" s="18"/>
      <c r="Q63" s="18"/>
      <c r="R63" s="18"/>
      <c r="S63" s="18"/>
      <c r="T63" s="18"/>
    </row>
    <row r="64" ht="15.75" customHeight="1">
      <c r="A64" s="18"/>
      <c r="B64" s="98" t="s">
        <v>74</v>
      </c>
      <c r="E64" s="62"/>
      <c r="F64" s="116" t="str">
        <f>IFERROR(__xludf.DUMMYFUNCTION("+L19+L12"),0.0)</f>
        <v>0.00 €</v>
      </c>
      <c r="G64" s="62"/>
      <c r="H64" s="62"/>
      <c r="I64" s="18"/>
      <c r="J64" s="20"/>
      <c r="K64" s="18"/>
      <c r="L64" s="18" t="str">
        <f>IFERROR(__xludf.DUMMYFUNCTION("IF(L60=1,+M60/($M$60+$M$61+$M$62+$M$63),0)"),0.5)</f>
        <v>0.5</v>
      </c>
      <c r="M64" s="27" t="str">
        <f>IFERROR(__xludf.DUMMYFUNCTION("+L64*$E$40"),62.50000000000001)</f>
        <v>62.50 €</v>
      </c>
      <c r="N64" s="18" t="str">
        <f t="shared" ref="N64:N67" si="5">IF(G42&gt;0,0,M64)</f>
        <v>0</v>
      </c>
      <c r="O64" s="18"/>
      <c r="P64" s="18"/>
      <c r="Q64" s="18"/>
      <c r="R64" s="18"/>
      <c r="S64" s="18"/>
      <c r="T64" s="18"/>
    </row>
    <row r="65" ht="15.75" customHeight="1">
      <c r="A65" s="18"/>
      <c r="B65" s="108" t="s">
        <v>70</v>
      </c>
      <c r="E65" s="117" t="str">
        <f>IFERROR(__xludf.DUMMYFUNCTION("+E59"),0.15)</f>
        <v>15%</v>
      </c>
      <c r="F65" s="111" t="str">
        <f>IFERROR(__xludf.DUMMYFUNCTION("+F64*E65"),0.0)</f>
        <v>0.00 €</v>
      </c>
      <c r="G65" s="62"/>
      <c r="H65" s="62"/>
      <c r="I65" s="18"/>
      <c r="J65" s="20"/>
      <c r="K65" s="18"/>
      <c r="L65" s="18" t="str">
        <f>IFERROR(__xludf.DUMMYFUNCTION("IF(L61=1,+M61/($M$60+$M$61+$M$62+$M$63),0)"),0.5)</f>
        <v>0.5</v>
      </c>
      <c r="M65" s="27" t="str">
        <f>IFERROR(__xludf.DUMMYFUNCTION("+L65*$E$40"),62.50000000000001)</f>
        <v>62.50 €</v>
      </c>
      <c r="N65" s="18" t="str">
        <f t="shared" si="5"/>
        <v>0</v>
      </c>
      <c r="O65" s="18"/>
      <c r="P65" s="18"/>
      <c r="Q65" s="18"/>
      <c r="R65" s="18"/>
      <c r="S65" s="18"/>
      <c r="T65" s="18"/>
    </row>
    <row r="66" ht="15.75" customHeight="1">
      <c r="A66" s="18"/>
      <c r="B66" s="18"/>
      <c r="C66" s="114" t="s">
        <v>75</v>
      </c>
      <c r="D66" s="118"/>
      <c r="E66" s="62"/>
      <c r="F66" s="106" t="str">
        <f>IFERROR(__xludf.DUMMYFUNCTION("(+K39-F65)+F50+F48+F49+E52"),6106.984424845186)</f>
        <v>6,106.98 €</v>
      </c>
      <c r="G66" s="62"/>
      <c r="H66" s="62"/>
      <c r="I66" s="18"/>
      <c r="J66" s="20"/>
      <c r="K66" s="18"/>
      <c r="L66" s="18" t="str">
        <f>IFERROR(__xludf.DUMMYFUNCTION("IF(L62=1,+M62/($M$60+$M$61+$M$62+$M$63),0)"),0.0)</f>
        <v>0</v>
      </c>
      <c r="M66" s="27" t="str">
        <f>IFERROR(__xludf.DUMMYFUNCTION("+L66*$E$40"),0.0)</f>
        <v>0.00 €</v>
      </c>
      <c r="N66" s="18" t="str">
        <f t="shared" si="5"/>
        <v>0</v>
      </c>
      <c r="O66" s="18"/>
      <c r="P66" s="18"/>
      <c r="Q66" s="18"/>
      <c r="R66" s="18"/>
      <c r="S66" s="18"/>
      <c r="T66" s="18"/>
    </row>
    <row r="67" ht="15.75" customHeight="1">
      <c r="A67" s="18"/>
      <c r="B67" s="18"/>
      <c r="C67" s="18"/>
      <c r="D67" s="18"/>
      <c r="E67" s="18"/>
      <c r="F67" s="62"/>
      <c r="G67" s="62"/>
      <c r="H67" s="62"/>
      <c r="I67" s="18"/>
      <c r="J67" s="20"/>
      <c r="K67" s="18"/>
      <c r="L67" s="18" t="str">
        <f>IFERROR(__xludf.DUMMYFUNCTION("IF(L63=1,+M63/($M$60+$M$61+$M$62+$M$63),0)"),0.0)</f>
        <v>0</v>
      </c>
      <c r="M67" s="27" t="str">
        <f>IFERROR(__xludf.DUMMYFUNCTION("+L67*$E$40"),0.0)</f>
        <v>0.00 €</v>
      </c>
      <c r="N67" s="18" t="str">
        <f t="shared" si="5"/>
        <v>0</v>
      </c>
      <c r="O67" s="18"/>
      <c r="P67" s="18"/>
      <c r="Q67" s="18"/>
      <c r="R67" s="18"/>
      <c r="S67" s="18"/>
      <c r="T67" s="18"/>
    </row>
    <row r="68" ht="15.75" customHeight="1">
      <c r="A68" s="18"/>
      <c r="B68" s="119" t="s">
        <v>76</v>
      </c>
      <c r="C68" s="4"/>
      <c r="D68" s="4"/>
      <c r="E68" s="5"/>
      <c r="F68" s="120" t="str">
        <f>IFERROR(__xludf.DUMMYFUNCTION("+F60+F63+F66"),8416.0869077219)</f>
        <v>8,416.09 €</v>
      </c>
      <c r="G68" s="121"/>
      <c r="I68" s="18"/>
      <c r="J68" s="20"/>
      <c r="K68" s="18"/>
      <c r="L68" s="18"/>
      <c r="M68" s="18"/>
      <c r="N68" s="18" t="str">
        <f>SUM(N64:N67)</f>
        <v>0</v>
      </c>
      <c r="O68" s="18"/>
      <c r="P68" s="18"/>
      <c r="Q68" s="18"/>
      <c r="R68" s="18"/>
      <c r="S68" s="18"/>
      <c r="T68" s="18"/>
    </row>
    <row r="69" ht="15.75" customHeight="1">
      <c r="A69" s="18"/>
      <c r="B69" s="18"/>
      <c r="C69" s="18"/>
      <c r="D69" s="18"/>
      <c r="E69" s="18"/>
      <c r="F69" s="62"/>
      <c r="G69" s="62"/>
      <c r="H69" s="62"/>
      <c r="I69" s="18"/>
      <c r="J69" s="20"/>
      <c r="K69" s="18"/>
      <c r="L69" s="18"/>
      <c r="M69" s="18"/>
      <c r="N69" s="18"/>
      <c r="O69" s="18"/>
      <c r="P69" s="18"/>
      <c r="Q69" s="18"/>
      <c r="R69" s="18"/>
      <c r="S69" s="18"/>
      <c r="T69" s="18"/>
    </row>
    <row r="70" ht="15.75" customHeight="1">
      <c r="A70" s="18"/>
      <c r="B70" s="18"/>
      <c r="C70" s="18"/>
      <c r="D70" s="18"/>
      <c r="E70" s="18"/>
      <c r="F70" s="62"/>
      <c r="G70" s="62"/>
      <c r="H70" s="62"/>
      <c r="I70" s="18"/>
      <c r="J70" s="20"/>
      <c r="K70" s="18"/>
      <c r="L70" s="18"/>
      <c r="M70" s="18"/>
      <c r="N70" s="18"/>
      <c r="O70" s="18"/>
      <c r="P70" s="18"/>
      <c r="Q70" s="18"/>
      <c r="R70" s="18"/>
      <c r="S70" s="18"/>
      <c r="T70" s="18"/>
    </row>
    <row r="71" ht="15.75" customHeight="1">
      <c r="A71" s="18"/>
      <c r="B71" s="122" t="s">
        <v>77</v>
      </c>
      <c r="C71" s="18"/>
      <c r="D71" s="18"/>
      <c r="E71" s="18"/>
      <c r="F71" s="18"/>
      <c r="G71" s="18"/>
      <c r="H71" s="18"/>
      <c r="I71" s="18"/>
      <c r="J71" s="20"/>
      <c r="K71" s="18"/>
      <c r="L71" s="18"/>
      <c r="M71" s="18"/>
      <c r="N71" s="18"/>
      <c r="O71" s="18"/>
      <c r="P71" s="18"/>
      <c r="Q71" s="18"/>
      <c r="R71" s="18"/>
      <c r="S71" s="18"/>
      <c r="T71" s="18"/>
    </row>
    <row r="72" ht="15.75" customHeight="1">
      <c r="A72" s="18"/>
      <c r="B72" s="18"/>
      <c r="C72" s="18"/>
      <c r="D72" s="18"/>
      <c r="E72" s="18"/>
      <c r="F72" s="18"/>
      <c r="G72" s="18"/>
      <c r="H72" s="18"/>
      <c r="I72" s="18"/>
      <c r="J72" s="20"/>
      <c r="K72" s="18"/>
      <c r="L72" s="18"/>
      <c r="M72" s="18"/>
      <c r="N72" s="18"/>
      <c r="O72" s="18"/>
      <c r="P72" s="18"/>
      <c r="Q72" s="18"/>
      <c r="R72" s="18"/>
      <c r="S72" s="18"/>
      <c r="T72" s="18"/>
    </row>
    <row r="73" ht="15.75" customHeight="1">
      <c r="A73" s="18"/>
      <c r="B73" s="18"/>
      <c r="C73" s="18"/>
      <c r="D73" s="18"/>
      <c r="E73" s="18"/>
      <c r="F73" s="18"/>
      <c r="G73" s="18"/>
      <c r="H73" s="18"/>
      <c r="I73" s="18"/>
      <c r="J73" s="20"/>
      <c r="K73" s="18"/>
      <c r="L73" s="18"/>
      <c r="M73" s="18"/>
      <c r="N73" s="18"/>
      <c r="O73" s="18"/>
      <c r="P73" s="18"/>
      <c r="Q73" s="18"/>
      <c r="R73" s="18"/>
      <c r="S73" s="18"/>
      <c r="T73" s="18"/>
    </row>
    <row r="74" ht="15.75" customHeight="1">
      <c r="A74" s="18"/>
      <c r="B74" s="122" t="s">
        <v>78</v>
      </c>
      <c r="C74" s="18"/>
      <c r="D74" s="122" t="s">
        <v>79</v>
      </c>
      <c r="E74" s="18"/>
      <c r="F74" s="18"/>
      <c r="G74" s="18"/>
      <c r="H74" s="18"/>
      <c r="I74" s="18"/>
      <c r="J74" s="20"/>
      <c r="K74" s="18"/>
      <c r="L74" s="18"/>
      <c r="M74" s="18"/>
      <c r="N74" s="18"/>
      <c r="O74" s="18"/>
      <c r="P74" s="18"/>
      <c r="Q74" s="18"/>
      <c r="R74" s="18"/>
      <c r="S74" s="18"/>
      <c r="T74" s="18"/>
    </row>
    <row r="75" ht="15.75" customHeight="1">
      <c r="A75" s="18"/>
      <c r="B75" s="18"/>
      <c r="C75" s="18"/>
      <c r="D75" s="18"/>
      <c r="E75" s="18"/>
      <c r="F75" s="18"/>
      <c r="G75" s="18"/>
      <c r="H75" s="18"/>
      <c r="I75" s="18"/>
      <c r="J75" s="20"/>
      <c r="K75" s="18"/>
      <c r="L75" s="18"/>
      <c r="M75" s="18"/>
      <c r="N75" s="18"/>
      <c r="O75" s="18"/>
      <c r="P75" s="18"/>
      <c r="Q75" s="18"/>
      <c r="R75" s="18"/>
      <c r="S75" s="18"/>
      <c r="T75" s="18"/>
    </row>
    <row r="76" ht="15.75" customHeight="1">
      <c r="A76" s="18"/>
      <c r="B76" s="18"/>
      <c r="C76" s="18"/>
      <c r="D76" s="18"/>
      <c r="E76" s="18"/>
      <c r="F76" s="18"/>
      <c r="G76" s="18"/>
      <c r="H76" s="18"/>
      <c r="I76" s="18"/>
      <c r="J76" s="20"/>
      <c r="K76" s="18"/>
      <c r="L76" s="18"/>
      <c r="M76" s="18"/>
      <c r="N76" s="18"/>
      <c r="O76" s="18"/>
      <c r="P76" s="18"/>
      <c r="Q76" s="18"/>
      <c r="R76" s="18"/>
      <c r="S76" s="18"/>
      <c r="T76" s="18"/>
    </row>
    <row r="77" ht="15.75" customHeight="1">
      <c r="A77" s="18"/>
      <c r="B77" s="18"/>
      <c r="C77" s="18"/>
      <c r="D77" s="18"/>
      <c r="E77" s="18"/>
      <c r="F77" s="18"/>
      <c r="G77" s="18"/>
      <c r="H77" s="18"/>
      <c r="I77" s="18"/>
      <c r="J77" s="20"/>
      <c r="K77" s="18"/>
      <c r="L77" s="18"/>
      <c r="M77" s="18"/>
      <c r="N77" s="18"/>
      <c r="O77" s="18"/>
      <c r="P77" s="18"/>
      <c r="Q77" s="18"/>
      <c r="R77" s="18"/>
      <c r="S77" s="18"/>
      <c r="T77" s="18"/>
    </row>
    <row r="78" ht="15.75" customHeight="1">
      <c r="A78" s="18"/>
      <c r="B78" s="18"/>
      <c r="C78" s="18"/>
      <c r="D78" s="18"/>
      <c r="E78" s="18"/>
      <c r="F78" s="18"/>
      <c r="G78" s="18"/>
      <c r="H78" s="18"/>
      <c r="I78" s="18"/>
      <c r="J78" s="20"/>
      <c r="K78" s="18"/>
      <c r="L78" s="18"/>
      <c r="M78" s="18"/>
      <c r="N78" s="18"/>
      <c r="O78" s="18"/>
      <c r="P78" s="18"/>
      <c r="Q78" s="18"/>
      <c r="R78" s="18"/>
      <c r="S78" s="18"/>
      <c r="T78" s="18"/>
    </row>
    <row r="79" ht="15.75" customHeight="1">
      <c r="A79" s="18"/>
      <c r="B79" s="18"/>
      <c r="C79" s="18"/>
      <c r="D79" s="18"/>
      <c r="E79" s="18"/>
      <c r="F79" s="18"/>
      <c r="G79" s="18"/>
      <c r="H79" s="18"/>
      <c r="I79" s="18"/>
      <c r="J79" s="20"/>
      <c r="K79" s="18"/>
      <c r="L79" s="18"/>
      <c r="M79" s="18"/>
      <c r="N79" s="18"/>
      <c r="O79" s="18"/>
      <c r="P79" s="18"/>
      <c r="Q79" s="18"/>
      <c r="R79" s="18"/>
      <c r="S79" s="18"/>
      <c r="T79" s="18"/>
    </row>
    <row r="80" ht="15.75" customHeight="1">
      <c r="A80" s="18"/>
      <c r="B80" s="18"/>
      <c r="C80" s="18"/>
      <c r="D80" s="18"/>
      <c r="E80" s="18"/>
      <c r="F80" s="18"/>
      <c r="G80" s="18"/>
      <c r="H80" s="18"/>
      <c r="I80" s="18"/>
      <c r="J80" s="20"/>
      <c r="K80" s="18"/>
      <c r="L80" s="18"/>
      <c r="M80" s="18"/>
      <c r="N80" s="18"/>
      <c r="O80" s="18"/>
      <c r="P80" s="18"/>
      <c r="Q80" s="18"/>
      <c r="R80" s="18"/>
      <c r="S80" s="18"/>
      <c r="T80" s="18"/>
    </row>
    <row r="81" ht="15.75" customHeight="1">
      <c r="A81" s="18"/>
      <c r="B81" s="18"/>
      <c r="C81" s="18"/>
      <c r="D81" s="18"/>
      <c r="E81" s="18"/>
      <c r="F81" s="18"/>
      <c r="G81" s="18"/>
      <c r="H81" s="18"/>
      <c r="I81" s="18"/>
      <c r="J81" s="20"/>
      <c r="K81" s="18"/>
      <c r="L81" s="18"/>
      <c r="M81" s="18"/>
      <c r="N81" s="18"/>
      <c r="O81" s="18"/>
      <c r="P81" s="18"/>
      <c r="Q81" s="18"/>
      <c r="R81" s="18"/>
      <c r="S81" s="18"/>
      <c r="T81" s="18"/>
    </row>
    <row r="82" ht="15.75" customHeight="1">
      <c r="A82" s="18"/>
      <c r="B82" s="18"/>
      <c r="C82" s="18"/>
      <c r="D82" s="18"/>
      <c r="E82" s="18"/>
      <c r="F82" s="18"/>
      <c r="G82" s="18"/>
      <c r="H82" s="18"/>
      <c r="I82" s="18"/>
      <c r="J82" s="20"/>
      <c r="K82" s="18"/>
      <c r="L82" s="18"/>
      <c r="M82" s="18"/>
      <c r="N82" s="18"/>
      <c r="O82" s="18"/>
      <c r="P82" s="18"/>
      <c r="Q82" s="18"/>
      <c r="R82" s="18"/>
      <c r="S82" s="18"/>
      <c r="T82" s="18"/>
    </row>
    <row r="83" ht="15.75" customHeight="1">
      <c r="A83" s="18"/>
      <c r="B83" s="18"/>
      <c r="C83" s="18"/>
      <c r="D83" s="18"/>
      <c r="E83" s="18"/>
      <c r="F83" s="18"/>
      <c r="G83" s="18"/>
      <c r="H83" s="18"/>
      <c r="I83" s="18"/>
      <c r="J83" s="20"/>
      <c r="K83" s="18"/>
      <c r="L83" s="18"/>
      <c r="M83" s="18"/>
      <c r="N83" s="18"/>
      <c r="O83" s="18"/>
      <c r="P83" s="18"/>
      <c r="Q83" s="18"/>
      <c r="R83" s="18"/>
      <c r="S83" s="18"/>
      <c r="T83" s="18"/>
    </row>
    <row r="84" ht="15.75" customHeight="1">
      <c r="A84" s="18"/>
      <c r="B84" s="18"/>
      <c r="C84" s="18"/>
      <c r="D84" s="18"/>
      <c r="E84" s="18"/>
      <c r="F84" s="18"/>
      <c r="G84" s="18"/>
      <c r="H84" s="18"/>
      <c r="I84" s="18"/>
      <c r="J84" s="20"/>
      <c r="K84" s="18"/>
      <c r="L84" s="18"/>
      <c r="M84" s="18"/>
      <c r="N84" s="18"/>
      <c r="O84" s="18"/>
      <c r="P84" s="18"/>
      <c r="Q84" s="18"/>
      <c r="R84" s="18"/>
      <c r="S84" s="18"/>
      <c r="T84" s="18"/>
    </row>
    <row r="85" ht="15.75" customHeight="1">
      <c r="A85" s="18"/>
      <c r="B85" s="18"/>
      <c r="C85" s="18"/>
      <c r="D85" s="18"/>
      <c r="E85" s="18"/>
      <c r="F85" s="18"/>
      <c r="G85" s="18"/>
      <c r="H85" s="18"/>
      <c r="I85" s="18"/>
      <c r="J85" s="20"/>
      <c r="K85" s="18"/>
      <c r="L85" s="18"/>
      <c r="M85" s="18"/>
      <c r="N85" s="18"/>
      <c r="O85" s="18"/>
      <c r="P85" s="18"/>
      <c r="Q85" s="18"/>
      <c r="R85" s="18"/>
      <c r="S85" s="18"/>
      <c r="T85" s="18"/>
    </row>
    <row r="86" ht="15.75" customHeight="1">
      <c r="A86" s="18"/>
      <c r="B86" s="18"/>
      <c r="C86" s="18"/>
      <c r="D86" s="18"/>
      <c r="E86" s="18"/>
      <c r="F86" s="18"/>
      <c r="G86" s="18"/>
      <c r="H86" s="18"/>
      <c r="I86" s="18"/>
      <c r="J86" s="20"/>
      <c r="K86" s="18"/>
      <c r="L86" s="18"/>
      <c r="M86" s="18"/>
      <c r="N86" s="18"/>
      <c r="O86" s="18"/>
      <c r="P86" s="18"/>
      <c r="Q86" s="18"/>
      <c r="R86" s="18"/>
      <c r="S86" s="18"/>
      <c r="T86" s="18"/>
    </row>
    <row r="87" ht="15.75" customHeight="1">
      <c r="A87" s="18"/>
      <c r="B87" s="18"/>
      <c r="C87" s="18"/>
      <c r="D87" s="18"/>
      <c r="E87" s="18"/>
      <c r="F87" s="18"/>
      <c r="G87" s="18"/>
      <c r="H87" s="18"/>
      <c r="I87" s="18"/>
      <c r="J87" s="20"/>
      <c r="K87" s="18"/>
      <c r="L87" s="18"/>
      <c r="M87" s="18"/>
      <c r="N87" s="18"/>
      <c r="O87" s="18"/>
      <c r="P87" s="18"/>
      <c r="Q87" s="18"/>
      <c r="R87" s="18"/>
      <c r="S87" s="18"/>
      <c r="T87" s="18"/>
    </row>
    <row r="88" ht="15.75" customHeight="1">
      <c r="A88" s="18"/>
      <c r="B88" s="18"/>
      <c r="C88" s="18"/>
      <c r="D88" s="18"/>
      <c r="E88" s="18"/>
      <c r="F88" s="18"/>
      <c r="G88" s="18"/>
      <c r="H88" s="18"/>
      <c r="I88" s="18"/>
      <c r="J88" s="20"/>
      <c r="K88" s="18"/>
      <c r="L88" s="18"/>
      <c r="M88" s="18"/>
      <c r="N88" s="18"/>
      <c r="O88" s="18"/>
      <c r="P88" s="18"/>
      <c r="Q88" s="18"/>
      <c r="R88" s="18"/>
      <c r="S88" s="18"/>
      <c r="T88" s="18"/>
    </row>
    <row r="89" ht="15.75" customHeight="1">
      <c r="A89" s="18"/>
      <c r="B89" s="18"/>
      <c r="C89" s="18"/>
      <c r="D89" s="18"/>
      <c r="E89" s="18"/>
      <c r="F89" s="18"/>
      <c r="G89" s="18"/>
      <c r="H89" s="18"/>
      <c r="I89" s="18"/>
      <c r="J89" s="20"/>
      <c r="K89" s="18"/>
      <c r="L89" s="18"/>
      <c r="M89" s="18"/>
      <c r="N89" s="18"/>
      <c r="O89" s="18"/>
      <c r="P89" s="18"/>
      <c r="Q89" s="18"/>
      <c r="R89" s="18"/>
      <c r="S89" s="18"/>
      <c r="T89" s="18"/>
    </row>
    <row r="90" ht="15.75" customHeight="1">
      <c r="A90" s="18"/>
      <c r="B90" s="18"/>
      <c r="C90" s="18"/>
      <c r="D90" s="18"/>
      <c r="E90" s="18"/>
      <c r="F90" s="18"/>
      <c r="G90" s="18"/>
      <c r="H90" s="18"/>
      <c r="I90" s="18"/>
      <c r="J90" s="20"/>
      <c r="K90" s="18"/>
      <c r="L90" s="18"/>
      <c r="M90" s="18"/>
      <c r="N90" s="18"/>
      <c r="O90" s="18"/>
      <c r="P90" s="18"/>
      <c r="Q90" s="18"/>
      <c r="R90" s="18"/>
      <c r="S90" s="18"/>
      <c r="T90" s="18"/>
    </row>
    <row r="91" ht="15.75" customHeight="1">
      <c r="A91" s="18"/>
      <c r="B91" s="18"/>
      <c r="C91" s="18"/>
      <c r="D91" s="18"/>
      <c r="E91" s="18"/>
      <c r="F91" s="18"/>
      <c r="G91" s="18"/>
      <c r="H91" s="18"/>
      <c r="I91" s="18"/>
      <c r="J91" s="20"/>
      <c r="K91" s="18"/>
      <c r="L91" s="18"/>
      <c r="M91" s="18"/>
      <c r="N91" s="18"/>
      <c r="O91" s="18"/>
      <c r="P91" s="18"/>
      <c r="Q91" s="18"/>
      <c r="R91" s="18"/>
      <c r="S91" s="18"/>
      <c r="T91" s="18"/>
    </row>
    <row r="92" ht="15.75" customHeight="1">
      <c r="A92" s="18"/>
      <c r="B92" s="18"/>
      <c r="C92" s="18"/>
      <c r="D92" s="18"/>
      <c r="E92" s="18"/>
      <c r="F92" s="18"/>
      <c r="G92" s="18"/>
      <c r="H92" s="18"/>
      <c r="I92" s="18"/>
      <c r="J92" s="20"/>
      <c r="K92" s="18"/>
      <c r="L92" s="18"/>
      <c r="M92" s="18"/>
      <c r="N92" s="18"/>
      <c r="O92" s="18"/>
      <c r="P92" s="18"/>
      <c r="Q92" s="18"/>
      <c r="R92" s="18"/>
      <c r="S92" s="18"/>
      <c r="T92" s="18"/>
    </row>
    <row r="93" ht="15.75" customHeight="1">
      <c r="A93" s="18"/>
      <c r="B93" s="18"/>
      <c r="C93" s="18"/>
      <c r="D93" s="18"/>
      <c r="E93" s="18"/>
      <c r="F93" s="18"/>
      <c r="G93" s="18"/>
      <c r="H93" s="18"/>
      <c r="I93" s="18"/>
      <c r="J93" s="20"/>
      <c r="K93" s="18"/>
      <c r="L93" s="18"/>
      <c r="M93" s="18"/>
      <c r="N93" s="18"/>
      <c r="O93" s="18"/>
      <c r="P93" s="18"/>
      <c r="Q93" s="18"/>
      <c r="R93" s="18"/>
      <c r="S93" s="18"/>
      <c r="T93" s="18"/>
    </row>
    <row r="94" ht="15.75" customHeight="1">
      <c r="A94" s="18"/>
      <c r="B94" s="18"/>
      <c r="C94" s="18"/>
      <c r="D94" s="18"/>
      <c r="E94" s="18"/>
      <c r="F94" s="18"/>
      <c r="G94" s="18"/>
      <c r="H94" s="18"/>
      <c r="I94" s="18"/>
      <c r="J94" s="20"/>
      <c r="K94" s="18"/>
      <c r="L94" s="18"/>
      <c r="M94" s="18"/>
      <c r="N94" s="18"/>
      <c r="O94" s="18"/>
      <c r="P94" s="18"/>
      <c r="Q94" s="18"/>
      <c r="R94" s="18"/>
      <c r="S94" s="18"/>
      <c r="T94" s="18"/>
    </row>
    <row r="95" ht="15.75" customHeight="1">
      <c r="A95" s="18"/>
      <c r="B95" s="18"/>
      <c r="C95" s="18"/>
      <c r="D95" s="18"/>
      <c r="E95" s="18"/>
      <c r="F95" s="18"/>
      <c r="G95" s="18"/>
      <c r="H95" s="18"/>
      <c r="I95" s="18"/>
      <c r="J95" s="20"/>
      <c r="K95" s="18"/>
      <c r="L95" s="18"/>
      <c r="M95" s="18"/>
      <c r="N95" s="18"/>
      <c r="O95" s="18"/>
      <c r="P95" s="18"/>
      <c r="Q95" s="18"/>
      <c r="R95" s="18"/>
      <c r="S95" s="18"/>
      <c r="T95" s="18"/>
    </row>
    <row r="96" ht="15.75" customHeight="1">
      <c r="A96" s="18"/>
      <c r="B96" s="18"/>
      <c r="C96" s="18"/>
      <c r="D96" s="18"/>
      <c r="E96" s="18"/>
      <c r="F96" s="18"/>
      <c r="G96" s="18"/>
      <c r="H96" s="18"/>
      <c r="I96" s="18"/>
      <c r="J96" s="20"/>
      <c r="K96" s="18"/>
      <c r="L96" s="18"/>
      <c r="M96" s="18"/>
      <c r="N96" s="18"/>
      <c r="O96" s="18"/>
      <c r="P96" s="18"/>
      <c r="Q96" s="18"/>
      <c r="R96" s="18"/>
      <c r="S96" s="18"/>
      <c r="T96" s="18"/>
    </row>
    <row r="97" ht="15.75" customHeight="1">
      <c r="A97" s="18"/>
      <c r="B97" s="18"/>
      <c r="C97" s="18"/>
      <c r="D97" s="18"/>
      <c r="E97" s="18"/>
      <c r="F97" s="18"/>
      <c r="G97" s="18"/>
      <c r="H97" s="18"/>
      <c r="I97" s="18"/>
      <c r="J97" s="20"/>
      <c r="K97" s="18"/>
      <c r="L97" s="18"/>
      <c r="M97" s="18"/>
      <c r="N97" s="18"/>
      <c r="O97" s="18"/>
      <c r="P97" s="18"/>
      <c r="Q97" s="18"/>
      <c r="R97" s="18"/>
      <c r="S97" s="18"/>
      <c r="T97" s="18"/>
    </row>
    <row r="98" ht="15.75" customHeight="1">
      <c r="A98" s="18"/>
      <c r="B98" s="18"/>
      <c r="C98" s="18"/>
      <c r="D98" s="18"/>
      <c r="E98" s="18"/>
      <c r="F98" s="18"/>
      <c r="G98" s="18"/>
      <c r="H98" s="18"/>
      <c r="I98" s="18"/>
      <c r="J98" s="20"/>
      <c r="K98" s="18"/>
      <c r="L98" s="18"/>
      <c r="M98" s="18"/>
      <c r="N98" s="18"/>
      <c r="O98" s="18"/>
      <c r="P98" s="18"/>
      <c r="Q98" s="18"/>
      <c r="R98" s="18"/>
      <c r="S98" s="18"/>
      <c r="T98" s="18"/>
    </row>
    <row r="99" ht="15.75" customHeight="1">
      <c r="A99" s="18"/>
      <c r="B99" s="18"/>
      <c r="C99" s="18"/>
      <c r="D99" s="18"/>
      <c r="E99" s="18"/>
      <c r="F99" s="18"/>
      <c r="G99" s="18"/>
      <c r="H99" s="18"/>
      <c r="I99" s="18"/>
      <c r="J99" s="20"/>
      <c r="K99" s="18"/>
      <c r="L99" s="18"/>
      <c r="M99" s="18"/>
      <c r="N99" s="18"/>
      <c r="O99" s="18"/>
      <c r="P99" s="18"/>
      <c r="Q99" s="18"/>
      <c r="R99" s="18"/>
      <c r="S99" s="18"/>
      <c r="T99" s="18"/>
    </row>
    <row r="100" ht="15.75" customHeight="1">
      <c r="A100" s="18"/>
      <c r="B100" s="18"/>
      <c r="C100" s="18"/>
      <c r="D100" s="18"/>
      <c r="E100" s="18"/>
      <c r="F100" s="18"/>
      <c r="G100" s="18"/>
      <c r="H100" s="18"/>
      <c r="I100" s="18"/>
      <c r="J100" s="20"/>
      <c r="K100" s="18"/>
      <c r="L100" s="18"/>
      <c r="M100" s="18"/>
      <c r="N100" s="18"/>
      <c r="O100" s="18"/>
      <c r="P100" s="18"/>
      <c r="Q100" s="18"/>
      <c r="R100" s="18"/>
      <c r="S100" s="18"/>
      <c r="T100" s="18"/>
    </row>
  </sheetData>
  <mergeCells count="79">
    <mergeCell ref="B64:D64"/>
    <mergeCell ref="B65:D65"/>
    <mergeCell ref="B50:C50"/>
    <mergeCell ref="G50:H50"/>
    <mergeCell ref="B51:C51"/>
    <mergeCell ref="B52:C52"/>
    <mergeCell ref="D53:E53"/>
    <mergeCell ref="B55:E55"/>
    <mergeCell ref="B47:C47"/>
    <mergeCell ref="B48:C48"/>
    <mergeCell ref="G48:H48"/>
    <mergeCell ref="B49:C49"/>
    <mergeCell ref="G49:H49"/>
    <mergeCell ref="H28:I28"/>
    <mergeCell ref="H29:I29"/>
    <mergeCell ref="H24:I24"/>
    <mergeCell ref="H25:I25"/>
    <mergeCell ref="H26:I26"/>
    <mergeCell ref="H23:I23"/>
    <mergeCell ref="G22:I22"/>
    <mergeCell ref="G40:I40"/>
    <mergeCell ref="B41:C41"/>
    <mergeCell ref="G41:I41"/>
    <mergeCell ref="G35:I35"/>
    <mergeCell ref="H30:I30"/>
    <mergeCell ref="G32:I32"/>
    <mergeCell ref="H27:I27"/>
    <mergeCell ref="B62:D62"/>
    <mergeCell ref="C56:D56"/>
    <mergeCell ref="C57:D57"/>
    <mergeCell ref="C58:D58"/>
    <mergeCell ref="C59:D59"/>
    <mergeCell ref="B61:D61"/>
    <mergeCell ref="G37:H37"/>
    <mergeCell ref="G33:H33"/>
    <mergeCell ref="G34:H34"/>
    <mergeCell ref="B30:C30"/>
    <mergeCell ref="D30:E30"/>
    <mergeCell ref="B31:C31"/>
    <mergeCell ref="B27:C27"/>
    <mergeCell ref="B21:C21"/>
    <mergeCell ref="G21:H21"/>
    <mergeCell ref="B22:C22"/>
    <mergeCell ref="B23:C23"/>
    <mergeCell ref="B18:C18"/>
    <mergeCell ref="G18:H18"/>
    <mergeCell ref="D29:E29"/>
    <mergeCell ref="B24:C24"/>
    <mergeCell ref="B26:C26"/>
    <mergeCell ref="B25:D25"/>
    <mergeCell ref="G68:H68"/>
    <mergeCell ref="C4:D4"/>
    <mergeCell ref="C5:D5"/>
    <mergeCell ref="C6:D6"/>
    <mergeCell ref="B68:E68"/>
    <mergeCell ref="G17:H17"/>
    <mergeCell ref="B13:D13"/>
    <mergeCell ref="B1:C1"/>
    <mergeCell ref="B19:C19"/>
    <mergeCell ref="G19:H19"/>
    <mergeCell ref="B20:C20"/>
    <mergeCell ref="G20:H20"/>
    <mergeCell ref="G14:H14"/>
    <mergeCell ref="B16:D16"/>
    <mergeCell ref="E16:F16"/>
    <mergeCell ref="G16:H16"/>
    <mergeCell ref="B14:D14"/>
    <mergeCell ref="E14:F14"/>
    <mergeCell ref="B17:C17"/>
    <mergeCell ref="E17:F17"/>
    <mergeCell ref="E11:F11"/>
    <mergeCell ref="B10:D10"/>
    <mergeCell ref="E10:F10"/>
    <mergeCell ref="B11:D11"/>
    <mergeCell ref="C7:D7"/>
    <mergeCell ref="B9:D9"/>
    <mergeCell ref="B2:I2"/>
    <mergeCell ref="E9:F9"/>
    <mergeCell ref="G9:H9"/>
  </mergeCells>
  <printOptions/>
  <pageMargins bottom="0.75" footer="0.0" header="0.0" left="0.7" right="0.7" top="0.75"/>
  <pageSetup orientation="landscape"/>
  <drawing r:id="rId1"/>
</worksheet>
</file>

<file path=docProps/app.xml><?xml version="1.0" encoding="utf-8"?>
<Properties xmlns="http://schemas.openxmlformats.org/officeDocument/2006/extended-properties" xmlns:vt="http://schemas.openxmlformats.org/officeDocument/2006/docPropsVTypes">
  <Company/>
  <ScaleCrop>false</ScaleCrop>
  <HeadingPairs>
    <vt:vector baseType="variant" size="2">
      <vt:variant>
        <vt:lpstr>Hojas de cálculo</vt:lpstr>
      </vt:variant>
      <vt:variant>
        <vt:i4>2</vt:i4>
      </vt:variant>
    </vt:vector>
  </HeadingPairs>
  <TitlesOfParts>
    <vt:vector baseType="lpstr" size="2">
      <vt:lpstr>Instrucciones</vt:lpstr>
      <vt:lpstr>Finiquito empleados</vt:lpstr>
    </vt:vector>
  </TitlesOfParts>
  <LinksUpToDate>false</LinksUpToDate>
  <SharedDoc>false</SharedDoc>
  <HyperlinksChanged>false</HyperlinksChanged>
  <Application>Microsoft Macintosh Excel</Application>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2023-12-17T12:46:41Z</dcterms:created>
  <dc:creator>Ainhoa MO</dc:creator>
  <cp:lastModifiedBy>Ainhoa MO</cp:lastModifiedBy>
  <dcterms:modified xsi:type="dcterms:W3CDTF">2023-12-19T20:11:12Z</dcterms:modified>
</cp:coreProperties>
</file>